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rhianconvery/Documents/Documents - MacBook Pro/PhD/Ignite/Part_1/Analysis/"/>
    </mc:Choice>
  </mc:AlternateContent>
  <xr:revisionPtr revIDLastSave="0" documentId="13_ncr:1_{20D9C798-D229-5744-819C-4C4CD8B75076}" xr6:coauthVersionLast="47" xr6:coauthVersionMax="47" xr10:uidLastSave="{00000000-0000-0000-0000-000000000000}"/>
  <bookViews>
    <workbookView xWindow="6540" yWindow="500" windowWidth="19160" windowHeight="16000" xr2:uid="{B5DE8B39-4ACF-6D48-9252-82AC22469323}"/>
  </bookViews>
  <sheets>
    <sheet name="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3" i="1" l="1"/>
  <c r="D6" i="1"/>
  <c r="J59" i="1"/>
  <c r="J28" i="1"/>
  <c r="L8" i="1"/>
  <c r="J8" i="1"/>
  <c r="F8" i="1"/>
  <c r="H8" i="1"/>
  <c r="D8" i="1"/>
  <c r="L64" i="1" l="1"/>
  <c r="J64" i="1"/>
  <c r="H64" i="1"/>
  <c r="F64" i="1"/>
  <c r="D64" i="1"/>
  <c r="L62" i="1"/>
  <c r="H62" i="1"/>
  <c r="I62" i="1" s="1"/>
  <c r="J62" i="1"/>
  <c r="F62" i="1"/>
  <c r="D62" i="1"/>
  <c r="L60" i="1"/>
  <c r="J60" i="1"/>
  <c r="H60" i="1"/>
  <c r="F60" i="1"/>
  <c r="D60" i="1"/>
  <c r="L58" i="1"/>
  <c r="J58" i="1"/>
  <c r="H58" i="1"/>
  <c r="F58" i="1"/>
  <c r="D58" i="1"/>
  <c r="L54" i="1"/>
  <c r="J54" i="1"/>
  <c r="H54" i="1"/>
  <c r="F54" i="1"/>
  <c r="D54" i="1"/>
  <c r="L50" i="1"/>
  <c r="J50" i="1"/>
  <c r="H50" i="1"/>
  <c r="F50" i="1"/>
  <c r="D50" i="1"/>
  <c r="L48" i="1"/>
  <c r="J48" i="1"/>
  <c r="H48" i="1"/>
  <c r="F48" i="1"/>
  <c r="D48" i="1"/>
  <c r="L46" i="1"/>
  <c r="J46" i="1"/>
  <c r="H46" i="1"/>
  <c r="F46" i="1"/>
  <c r="D46" i="1"/>
  <c r="L44" i="1"/>
  <c r="J44" i="1"/>
  <c r="H44" i="1"/>
  <c r="F44" i="1"/>
  <c r="D44" i="1"/>
  <c r="L43" i="1"/>
  <c r="J43" i="1"/>
  <c r="H43" i="1"/>
  <c r="F43" i="1"/>
  <c r="L39" i="1"/>
  <c r="J39" i="1"/>
  <c r="H39" i="1"/>
  <c r="F39" i="1"/>
  <c r="D39" i="1"/>
  <c r="L32" i="1"/>
  <c r="J32" i="1"/>
  <c r="H32" i="1"/>
  <c r="F32" i="1"/>
  <c r="D32" i="1"/>
  <c r="L30" i="1"/>
  <c r="J30" i="1"/>
  <c r="H30" i="1"/>
  <c r="F30" i="1"/>
  <c r="D30" i="1"/>
  <c r="L28" i="1"/>
  <c r="H28" i="1"/>
  <c r="F28" i="1"/>
  <c r="D28" i="1"/>
  <c r="L26" i="1"/>
  <c r="J26" i="1"/>
  <c r="H26" i="1"/>
  <c r="F26" i="1"/>
  <c r="D26" i="1"/>
  <c r="L24" i="1"/>
  <c r="J24" i="1"/>
  <c r="H24" i="1"/>
  <c r="F24" i="1"/>
  <c r="D24" i="1"/>
  <c r="D20" i="1"/>
  <c r="L18" i="1"/>
  <c r="J18" i="1"/>
  <c r="H18" i="1"/>
  <c r="F18" i="1"/>
  <c r="D18" i="1"/>
  <c r="L22" i="1"/>
  <c r="J22" i="1"/>
  <c r="H22" i="1"/>
  <c r="F22" i="1"/>
  <c r="D22" i="1"/>
  <c r="F14" i="1" l="1"/>
  <c r="G14" i="1" s="1"/>
  <c r="L14" i="1"/>
  <c r="J14" i="1"/>
  <c r="H14" i="1"/>
  <c r="I14" i="1" s="1"/>
  <c r="F10" i="1"/>
  <c r="D14" i="1"/>
  <c r="E14" i="1" s="1"/>
  <c r="L11" i="1" l="1"/>
  <c r="D11" i="1"/>
  <c r="F11" i="1"/>
  <c r="L10" i="1" l="1"/>
  <c r="J10" i="1"/>
  <c r="J11" i="1"/>
  <c r="H10" i="1"/>
  <c r="D10" i="1"/>
  <c r="E10" i="1" s="1"/>
  <c r="G8" i="1"/>
  <c r="M8" i="1"/>
  <c r="K8" i="1"/>
  <c r="I8" i="1"/>
  <c r="E8" i="1"/>
  <c r="L6" i="1"/>
  <c r="M6" i="1" s="1"/>
  <c r="J6" i="1"/>
  <c r="K6" i="1" s="1"/>
  <c r="H6" i="1"/>
  <c r="I6" i="1" s="1"/>
  <c r="F6" i="1"/>
  <c r="G6" i="1" s="1"/>
  <c r="E6" i="1"/>
  <c r="M44" i="1" l="1"/>
  <c r="K44" i="1"/>
  <c r="I44" i="1"/>
  <c r="G44" i="1"/>
  <c r="E44" i="1"/>
  <c r="M43" i="1"/>
  <c r="K43" i="1"/>
  <c r="I43" i="1"/>
  <c r="G43" i="1"/>
  <c r="E43" i="1"/>
  <c r="L42" i="1"/>
  <c r="M42" i="1" s="1"/>
  <c r="J42" i="1"/>
  <c r="K42" i="1" s="1"/>
  <c r="H42" i="1"/>
  <c r="I42" i="1" s="1"/>
  <c r="F42" i="1"/>
  <c r="G42" i="1" s="1"/>
  <c r="D42" i="1"/>
  <c r="E42" i="1" s="1"/>
  <c r="L41" i="1"/>
  <c r="M41" i="1" s="1"/>
  <c r="J41" i="1"/>
  <c r="K41" i="1" s="1"/>
  <c r="H41" i="1"/>
  <c r="I41" i="1" s="1"/>
  <c r="F41" i="1"/>
  <c r="G41" i="1" s="1"/>
  <c r="D41" i="1"/>
  <c r="E41" i="1" s="1"/>
  <c r="L36" i="1" l="1"/>
  <c r="M36" i="1" s="1"/>
  <c r="J36" i="1"/>
  <c r="K36" i="1" s="1"/>
  <c r="H36" i="1"/>
  <c r="I36" i="1" s="1"/>
  <c r="D36" i="1"/>
  <c r="E36" i="1" s="1"/>
  <c r="F36" i="1"/>
  <c r="G36" i="1" s="1"/>
  <c r="M39" i="1"/>
  <c r="K39" i="1"/>
  <c r="I39" i="1"/>
  <c r="G39" i="1"/>
  <c r="E39" i="1"/>
  <c r="L38" i="1"/>
  <c r="M38" i="1" s="1"/>
  <c r="J38" i="1"/>
  <c r="K38" i="1" s="1"/>
  <c r="H38" i="1"/>
  <c r="I38" i="1" s="1"/>
  <c r="F38" i="1"/>
  <c r="G38" i="1" s="1"/>
  <c r="D38" i="1"/>
  <c r="E38" i="1" s="1"/>
  <c r="M64" i="1"/>
  <c r="I64" i="1"/>
  <c r="G64" i="1"/>
  <c r="E64" i="1"/>
  <c r="K64" i="1"/>
  <c r="F63" i="1"/>
  <c r="G63" i="1" s="1"/>
  <c r="L63" i="1"/>
  <c r="M63" i="1" s="1"/>
  <c r="J63" i="1"/>
  <c r="K63" i="1" s="1"/>
  <c r="H63" i="1"/>
  <c r="I63" i="1" s="1"/>
  <c r="D63" i="1"/>
  <c r="E63" i="1" s="1"/>
  <c r="M62" i="1"/>
  <c r="K62" i="1"/>
  <c r="G62" i="1"/>
  <c r="E62" i="1"/>
  <c r="M60" i="1"/>
  <c r="K60" i="1"/>
  <c r="I60" i="1"/>
  <c r="G60" i="1"/>
  <c r="E60" i="1"/>
  <c r="L59" i="1"/>
  <c r="M59" i="1" s="1"/>
  <c r="K59" i="1"/>
  <c r="H59" i="1"/>
  <c r="I59" i="1" s="1"/>
  <c r="F59" i="1"/>
  <c r="G59" i="1" s="1"/>
  <c r="D59" i="1"/>
  <c r="E59" i="1" s="1"/>
  <c r="M58" i="1"/>
  <c r="K58" i="1"/>
  <c r="I58" i="1"/>
  <c r="G58" i="1"/>
  <c r="E58" i="1"/>
  <c r="L56" i="1"/>
  <c r="M56" i="1" s="1"/>
  <c r="J56" i="1"/>
  <c r="K56" i="1" s="1"/>
  <c r="H56" i="1"/>
  <c r="I56" i="1" s="1"/>
  <c r="F56" i="1"/>
  <c r="G56" i="1" s="1"/>
  <c r="D56" i="1"/>
  <c r="E56" i="1" s="1"/>
  <c r="L55" i="1"/>
  <c r="M55" i="1" s="1"/>
  <c r="J55" i="1"/>
  <c r="K55" i="1" s="1"/>
  <c r="H55" i="1"/>
  <c r="I55" i="1" s="1"/>
  <c r="F55" i="1"/>
  <c r="G55" i="1" s="1"/>
  <c r="D55" i="1"/>
  <c r="E55" i="1" s="1"/>
  <c r="M54" i="1"/>
  <c r="K54" i="1"/>
  <c r="I54" i="1"/>
  <c r="G54" i="1"/>
  <c r="E54" i="1"/>
  <c r="L52" i="1"/>
  <c r="M52" i="1" s="1"/>
  <c r="J52" i="1"/>
  <c r="K52" i="1" s="1"/>
  <c r="H52" i="1"/>
  <c r="I52" i="1" s="1"/>
  <c r="F52" i="1"/>
  <c r="G52" i="1" s="1"/>
  <c r="D52" i="1"/>
  <c r="E52" i="1" s="1"/>
  <c r="M50" i="1" l="1"/>
  <c r="I50" i="1"/>
  <c r="G50" i="1"/>
  <c r="E50" i="1"/>
  <c r="L51" i="1"/>
  <c r="M51" i="1" s="1"/>
  <c r="J51" i="1"/>
  <c r="K51" i="1" s="1"/>
  <c r="H51" i="1"/>
  <c r="I51" i="1" s="1"/>
  <c r="F51" i="1"/>
  <c r="G51" i="1" s="1"/>
  <c r="D51" i="1"/>
  <c r="E51" i="1" s="1"/>
  <c r="K50" i="1"/>
  <c r="M48" i="1"/>
  <c r="K48" i="1"/>
  <c r="I48" i="1"/>
  <c r="G48" i="1"/>
  <c r="E48" i="1"/>
  <c r="L47" i="1"/>
  <c r="L34" i="1"/>
  <c r="M34" i="1" s="1"/>
  <c r="J34" i="1"/>
  <c r="K34" i="1" s="1"/>
  <c r="H34" i="1"/>
  <c r="I34" i="1" s="1"/>
  <c r="F34" i="1"/>
  <c r="G34" i="1" s="1"/>
  <c r="D34" i="1"/>
  <c r="E34" i="1" s="1"/>
  <c r="M32" i="1"/>
  <c r="K32" i="1"/>
  <c r="I32" i="1"/>
  <c r="G32" i="1"/>
  <c r="E32" i="1"/>
  <c r="L31" i="1"/>
  <c r="M31" i="1" s="1"/>
  <c r="J31" i="1"/>
  <c r="K31" i="1" s="1"/>
  <c r="H31" i="1"/>
  <c r="I31" i="1" s="1"/>
  <c r="F31" i="1"/>
  <c r="G31" i="1" s="1"/>
  <c r="D31" i="1"/>
  <c r="E31" i="1" s="1"/>
  <c r="M30" i="1"/>
  <c r="K30" i="1"/>
  <c r="I30" i="1"/>
  <c r="G30" i="1"/>
  <c r="E30" i="1"/>
  <c r="M28" i="1"/>
  <c r="K28" i="1"/>
  <c r="I28" i="1"/>
  <c r="G28" i="1"/>
  <c r="E28" i="1"/>
  <c r="L27" i="1"/>
  <c r="M27" i="1" s="1"/>
  <c r="J27" i="1"/>
  <c r="K27" i="1" s="1"/>
  <c r="H27" i="1"/>
  <c r="I27" i="1" s="1"/>
  <c r="F27" i="1"/>
  <c r="G27" i="1" s="1"/>
  <c r="D27" i="1"/>
  <c r="E27" i="1" s="1"/>
  <c r="M26" i="1"/>
  <c r="K26" i="1"/>
  <c r="I26" i="1"/>
  <c r="G26" i="1"/>
  <c r="E26" i="1"/>
  <c r="L12" i="1"/>
  <c r="M12" i="1" s="1"/>
  <c r="J12" i="1"/>
  <c r="K12" i="1" s="1"/>
  <c r="I10" i="1"/>
  <c r="H12" i="1"/>
  <c r="I12" i="1" s="1"/>
  <c r="F12" i="1"/>
  <c r="G12" i="1" s="1"/>
  <c r="D12" i="1"/>
  <c r="E12" i="1" s="1"/>
  <c r="M24" i="1"/>
  <c r="K24" i="1"/>
  <c r="I24" i="1"/>
  <c r="G24" i="1"/>
  <c r="E24" i="1"/>
  <c r="L23" i="1"/>
  <c r="M23" i="1" s="1"/>
  <c r="J23" i="1"/>
  <c r="K23" i="1" s="1"/>
  <c r="H23" i="1"/>
  <c r="I23" i="1" s="1"/>
  <c r="F23" i="1"/>
  <c r="G23" i="1" s="1"/>
  <c r="D23" i="1"/>
  <c r="E23" i="1" s="1"/>
  <c r="L20" i="1"/>
  <c r="M20" i="1" s="1"/>
  <c r="J20" i="1"/>
  <c r="K20" i="1" s="1"/>
  <c r="H20" i="1"/>
  <c r="I20" i="1" s="1"/>
  <c r="F20" i="1"/>
  <c r="G20" i="1" s="1"/>
  <c r="E20" i="1"/>
  <c r="L19" i="1"/>
  <c r="M19" i="1" s="1"/>
  <c r="J19" i="1"/>
  <c r="K19" i="1" s="1"/>
  <c r="H19" i="1"/>
  <c r="I19" i="1" s="1"/>
  <c r="F19" i="1"/>
  <c r="G19" i="1" s="1"/>
  <c r="D19" i="1"/>
  <c r="E19" i="1" s="1"/>
  <c r="L16" i="1"/>
  <c r="M16" i="1" s="1"/>
  <c r="J16" i="1"/>
  <c r="K16" i="1" s="1"/>
  <c r="H16" i="1"/>
  <c r="I16" i="1" s="1"/>
  <c r="F16" i="1"/>
  <c r="G16" i="1" s="1"/>
  <c r="D16" i="1"/>
  <c r="E16" i="1" s="1"/>
  <c r="L15" i="1"/>
  <c r="M15" i="1" s="1"/>
  <c r="J15" i="1"/>
  <c r="K15" i="1" s="1"/>
  <c r="H15" i="1"/>
  <c r="I15" i="1" s="1"/>
  <c r="F15" i="1"/>
  <c r="G15" i="1" s="1"/>
  <c r="D15" i="1"/>
  <c r="E15" i="1" s="1"/>
  <c r="M11" i="1"/>
  <c r="K11" i="1"/>
  <c r="H11" i="1"/>
  <c r="I11" i="1" s="1"/>
  <c r="G11" i="1"/>
  <c r="E11" i="1"/>
  <c r="K14" i="1"/>
  <c r="M14" i="1"/>
  <c r="K10" i="1"/>
  <c r="G10" i="1"/>
  <c r="M10" i="1"/>
  <c r="M47" i="1" l="1"/>
  <c r="J47" i="1"/>
  <c r="K47" i="1" s="1"/>
  <c r="F47" i="1"/>
  <c r="G47" i="1" s="1"/>
  <c r="H47" i="1"/>
  <c r="I47" i="1" s="1"/>
  <c r="D47" i="1"/>
  <c r="E47" i="1" s="1"/>
  <c r="M46" i="1"/>
  <c r="K46" i="1"/>
  <c r="G46" i="1"/>
  <c r="I46" i="1"/>
  <c r="E46" i="1"/>
  <c r="M22" i="1"/>
  <c r="K22" i="1"/>
  <c r="I22" i="1"/>
  <c r="G22" i="1"/>
  <c r="E22" i="1"/>
  <c r="M18" i="1"/>
  <c r="K18" i="1"/>
  <c r="I18" i="1"/>
  <c r="G18" i="1"/>
  <c r="E18" i="1"/>
</calcChain>
</file>

<file path=xl/sharedStrings.xml><?xml version="1.0" encoding="utf-8"?>
<sst xmlns="http://schemas.openxmlformats.org/spreadsheetml/2006/main" count="102" uniqueCount="63">
  <si>
    <t>Enter Raw Score</t>
  </si>
  <si>
    <t>Sex (M=1; F=2)</t>
  </si>
  <si>
    <t>Age</t>
  </si>
  <si>
    <t>Sex, Age, &amp; Education</t>
  </si>
  <si>
    <t>Sex Only</t>
  </si>
  <si>
    <t>Age Only</t>
  </si>
  <si>
    <t>Education Only</t>
  </si>
  <si>
    <t>No Adjustment</t>
  </si>
  <si>
    <t>Education</t>
  </si>
  <si>
    <r>
      <rPr>
        <b/>
        <i/>
        <sz val="14"/>
        <color indexed="56"/>
        <rFont val="Calibri"/>
        <family val="2"/>
      </rPr>
      <t>Z</t>
    </r>
    <r>
      <rPr>
        <b/>
        <sz val="14"/>
        <color indexed="56"/>
        <rFont val="Calibri"/>
        <family val="2"/>
      </rPr>
      <t xml:space="preserve"> Score</t>
    </r>
  </si>
  <si>
    <t>Percentile</t>
  </si>
  <si>
    <t>Percentile Range:</t>
  </si>
  <si>
    <t>&lt;1%</t>
  </si>
  <si>
    <t>1%-1.99%</t>
  </si>
  <si>
    <t>2%-8.99%</t>
  </si>
  <si>
    <t>9%-24.99%</t>
  </si>
  <si>
    <t>25%-74.99%</t>
  </si>
  <si>
    <t>75%-90.99%</t>
  </si>
  <si>
    <t>91%-97.99%</t>
  </si>
  <si>
    <t>98%&lt;</t>
  </si>
  <si>
    <t>Pathfinder Level 1</t>
  </si>
  <si>
    <t>Pathfinder Level 2</t>
  </si>
  <si>
    <t>Colour Mix Level 3</t>
  </si>
  <si>
    <t>Average reaction time (s)</t>
  </si>
  <si>
    <t>Colour Mix Level 4</t>
  </si>
  <si>
    <t xml:space="preserve">Mind Reading </t>
  </si>
  <si>
    <t>Colour Mix Level 1</t>
  </si>
  <si>
    <t>Colour Mix Level 2</t>
  </si>
  <si>
    <t>Think Back Level 1</t>
  </si>
  <si>
    <t>Think Back Level 2</t>
  </si>
  <si>
    <t>Face Match</t>
  </si>
  <si>
    <t>Executive function/Processing speed</t>
  </si>
  <si>
    <t>Social cognition</t>
  </si>
  <si>
    <t>Card Sort</t>
  </si>
  <si>
    <t>Speed accuracy tradeoff score</t>
  </si>
  <si>
    <t>Balloon Fair</t>
  </si>
  <si>
    <t>Total money won</t>
  </si>
  <si>
    <t xml:space="preserve">Total correct </t>
  </si>
  <si>
    <t>Total correct</t>
  </si>
  <si>
    <t>Swipe Out</t>
  </si>
  <si>
    <t>Flanker effect (ms)</t>
  </si>
  <si>
    <t>Time Tap</t>
  </si>
  <si>
    <t>Picture Pair</t>
  </si>
  <si>
    <t>Semantic Knowledge</t>
  </si>
  <si>
    <t>Line Judgment</t>
  </si>
  <si>
    <t>Visuospatial skills</t>
  </si>
  <si>
    <t>Sum Up</t>
  </si>
  <si>
    <t>Arithmetic</t>
  </si>
  <si>
    <t>Number of categories achieved</t>
  </si>
  <si>
    <t>Time to complete (s)</t>
  </si>
  <si>
    <r>
      <t>Clock variance (ms</t>
    </r>
    <r>
      <rPr>
        <sz val="10"/>
        <color rgb="FF000000"/>
        <rFont val="Calibri"/>
        <family val="2"/>
      </rPr>
      <t>2</t>
    </r>
    <r>
      <rPr>
        <sz val="12"/>
        <color indexed="8"/>
        <rFont val="Calibri"/>
        <family val="2"/>
      </rPr>
      <t>) - Paced</t>
    </r>
  </si>
  <si>
    <r>
      <t xml:space="preserve"> Clock variance (ms</t>
    </r>
    <r>
      <rPr>
        <sz val="10"/>
        <color rgb="FF000000"/>
        <rFont val="Calibri"/>
        <family val="2"/>
      </rPr>
      <t>2</t>
    </r>
    <r>
      <rPr>
        <sz val="12"/>
        <color indexed="8"/>
        <rFont val="Calibri"/>
        <family val="2"/>
      </rPr>
      <t>) - Self-paced</t>
    </r>
  </si>
  <si>
    <t xml:space="preserve"> Absolute drift (ms) - Paced</t>
  </si>
  <si>
    <t>Absolute drift (ms) - Self-paced</t>
  </si>
  <si>
    <t>Descriptor:</t>
  </si>
  <si>
    <t>Severly Impaired</t>
  </si>
  <si>
    <t>Moderately Impaired</t>
  </si>
  <si>
    <t>Mildly Impaired</t>
  </si>
  <si>
    <t>Low Average</t>
  </si>
  <si>
    <t>Average</t>
  </si>
  <si>
    <t>High Average</t>
  </si>
  <si>
    <t>Superior</t>
  </si>
  <si>
    <t>Very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</si>
</sst>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2"/>
      <color theme="1"/>
      <name val="Calibri"/>
      <family val="2"/>
      <scheme val="minor"/>
    </font>
    <font>
      <sz val="12"/>
      <color theme="1"/>
      <name val="Calibri"/>
      <family val="2"/>
      <scheme val="minor"/>
    </font>
    <font>
      <b/>
      <sz val="13"/>
      <color theme="3"/>
      <name val="Calibri"/>
      <family val="2"/>
      <scheme val="minor"/>
    </font>
    <font>
      <sz val="12"/>
      <color rgb="FF3F3F76"/>
      <name val="Calibri"/>
      <family val="2"/>
      <scheme val="minor"/>
    </font>
    <font>
      <b/>
      <sz val="12"/>
      <color rgb="FFFA7D00"/>
      <name val="Calibri"/>
      <family val="2"/>
      <scheme val="minor"/>
    </font>
    <font>
      <b/>
      <sz val="14"/>
      <color indexed="8"/>
      <name val="Calibri"/>
      <family val="2"/>
    </font>
    <font>
      <b/>
      <sz val="12"/>
      <color indexed="62"/>
      <name val="Calibri"/>
      <family val="2"/>
    </font>
    <font>
      <b/>
      <sz val="14"/>
      <color indexed="56"/>
      <name val="Calibri"/>
      <family val="2"/>
      <scheme val="minor"/>
    </font>
    <font>
      <b/>
      <i/>
      <sz val="14"/>
      <color indexed="56"/>
      <name val="Calibri"/>
      <family val="2"/>
    </font>
    <font>
      <b/>
      <sz val="14"/>
      <color indexed="56"/>
      <name val="Calibri"/>
      <family val="2"/>
    </font>
    <font>
      <b/>
      <sz val="12"/>
      <name val="Calibri"/>
      <family val="2"/>
    </font>
    <font>
      <sz val="12"/>
      <color indexed="8"/>
      <name val="Calibri"/>
      <family val="2"/>
    </font>
    <font>
      <sz val="8"/>
      <name val="Calibri"/>
      <family val="2"/>
      <scheme val="minor"/>
    </font>
    <font>
      <b/>
      <sz val="14"/>
      <color theme="1"/>
      <name val="Calibri"/>
      <family val="2"/>
      <scheme val="minor"/>
    </font>
    <font>
      <sz val="10"/>
      <color rgb="FF000000"/>
      <name val="Calibri"/>
      <family val="2"/>
    </font>
  </fonts>
  <fills count="28">
    <fill>
      <patternFill patternType="none"/>
    </fill>
    <fill>
      <patternFill patternType="gray125"/>
    </fill>
    <fill>
      <patternFill patternType="solid">
        <fgColor rgb="FFFFCC99"/>
      </patternFill>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indexed="10"/>
        <bgColor indexed="64"/>
      </patternFill>
    </fill>
    <fill>
      <patternFill patternType="solid">
        <fgColor indexed="60"/>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BEB1FB"/>
        <bgColor indexed="64"/>
      </patternFill>
    </fill>
    <fill>
      <patternFill patternType="solid">
        <fgColor rgb="FFDECDFF"/>
        <bgColor indexed="64"/>
      </patternFill>
    </fill>
  </fills>
  <borders count="38">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indexed="64"/>
      </bottom>
      <diagonal/>
    </border>
    <border>
      <left style="thick">
        <color indexed="64"/>
      </left>
      <right style="thick">
        <color indexed="64"/>
      </right>
      <top style="double">
        <color indexed="64"/>
      </top>
      <bottom/>
      <diagonal/>
    </border>
    <border>
      <left style="thick">
        <color indexed="64"/>
      </left>
      <right style="thick">
        <color indexed="64"/>
      </right>
      <top style="double">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22"/>
      </top>
      <bottom style="double">
        <color indexed="64"/>
      </bottom>
      <diagonal/>
    </border>
    <border>
      <left style="thick">
        <color indexed="64"/>
      </left>
      <right style="thick">
        <color indexed="64"/>
      </right>
      <top/>
      <bottom style="thin">
        <color indexed="64"/>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style="thick">
        <color indexed="64"/>
      </left>
      <right/>
      <top/>
      <bottom style="thin">
        <color indexed="64"/>
      </bottom>
      <diagonal/>
    </border>
    <border>
      <left style="medium">
        <color indexed="64"/>
      </left>
      <right/>
      <top style="medium">
        <color indexed="64"/>
      </top>
      <bottom style="thick">
        <color indexed="22"/>
      </bottom>
      <diagonal/>
    </border>
    <border>
      <left/>
      <right style="thick">
        <color indexed="64"/>
      </right>
      <top style="medium">
        <color indexed="64"/>
      </top>
      <bottom style="thick">
        <color indexed="22"/>
      </bottom>
      <diagonal/>
    </border>
    <border>
      <left style="thick">
        <color indexed="64"/>
      </left>
      <right/>
      <top style="medium">
        <color indexed="64"/>
      </top>
      <bottom style="thick">
        <color indexed="22"/>
      </bottom>
      <diagonal/>
    </border>
    <border>
      <left/>
      <right style="medium">
        <color indexed="64"/>
      </right>
      <top style="medium">
        <color indexed="64"/>
      </top>
      <bottom style="thick">
        <color indexed="22"/>
      </bottom>
      <diagonal/>
    </border>
    <border>
      <left style="medium">
        <color indexed="64"/>
      </left>
      <right style="thick">
        <color indexed="64"/>
      </right>
      <top style="thick">
        <color indexed="22"/>
      </top>
      <bottom style="double">
        <color indexed="64"/>
      </bottom>
      <diagonal/>
    </border>
    <border>
      <left style="thick">
        <color indexed="64"/>
      </left>
      <right style="medium">
        <color indexed="64"/>
      </right>
      <top style="thick">
        <color indexed="22"/>
      </top>
      <bottom style="double">
        <color indexed="64"/>
      </bottom>
      <diagonal/>
    </border>
    <border>
      <left style="medium">
        <color indexed="64"/>
      </left>
      <right style="thick">
        <color indexed="64"/>
      </right>
      <top/>
      <bottom style="thin">
        <color indexed="64"/>
      </bottom>
      <diagonal/>
    </border>
    <border>
      <left style="thick">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1" applyNumberFormat="0" applyFill="0" applyAlignment="0" applyProtection="0"/>
    <xf numFmtId="0" fontId="3" fillId="2" borderId="2" applyNumberFormat="0" applyAlignment="0" applyProtection="0"/>
    <xf numFmtId="0" fontId="4" fillId="3" borderId="2" applyNumberFormat="0" applyAlignment="0" applyProtection="0"/>
    <xf numFmtId="0" fontId="1" fillId="4" borderId="0" applyNumberFormat="0" applyBorder="0" applyAlignment="0" applyProtection="0"/>
    <xf numFmtId="0" fontId="1" fillId="5" borderId="0" applyNumberFormat="0" applyBorder="0" applyAlignment="0" applyProtection="0"/>
  </cellStyleXfs>
  <cellXfs count="85">
    <xf numFmtId="0" fontId="0" fillId="0" borderId="0" xfId="0"/>
    <xf numFmtId="0" fontId="2" fillId="0" borderId="3" xfId="1" applyBorder="1" applyAlignment="1">
      <alignment horizontal="center"/>
    </xf>
    <xf numFmtId="0" fontId="0" fillId="0" borderId="6" xfId="0" applyBorder="1"/>
    <xf numFmtId="0" fontId="7" fillId="0" borderId="10" xfId="1" applyFont="1" applyBorder="1" applyAlignment="1" applyProtection="1">
      <alignment horizontal="center"/>
    </xf>
    <xf numFmtId="164" fontId="10" fillId="3" borderId="11" xfId="3" applyNumberFormat="1" applyFont="1" applyBorder="1" applyAlignment="1" applyProtection="1">
      <alignment horizontal="center"/>
    </xf>
    <xf numFmtId="2" fontId="10" fillId="3" borderId="11" xfId="3" applyNumberFormat="1" applyFont="1" applyBorder="1" applyAlignment="1" applyProtection="1">
      <alignment horizontal="center"/>
    </xf>
    <xf numFmtId="164" fontId="10" fillId="3" borderId="12" xfId="3" applyNumberFormat="1" applyFont="1" applyBorder="1" applyAlignment="1">
      <alignment horizontal="center"/>
    </xf>
    <xf numFmtId="164" fontId="10" fillId="3" borderId="8" xfId="3" applyNumberFormat="1" applyFont="1" applyBorder="1" applyAlignment="1" applyProtection="1">
      <alignment horizontal="center"/>
    </xf>
    <xf numFmtId="164" fontId="10" fillId="3" borderId="13" xfId="3" applyNumberFormat="1" applyFont="1" applyBorder="1" applyAlignment="1">
      <alignment horizontal="center"/>
    </xf>
    <xf numFmtId="0" fontId="7" fillId="0" borderId="21" xfId="1" applyFont="1" applyBorder="1" applyAlignment="1" applyProtection="1">
      <alignment horizontal="center"/>
    </xf>
    <xf numFmtId="0" fontId="7" fillId="0" borderId="22" xfId="1" applyFont="1" applyBorder="1" applyAlignment="1" applyProtection="1">
      <alignment horizontal="center"/>
    </xf>
    <xf numFmtId="164" fontId="10" fillId="3" borderId="23" xfId="3" applyNumberFormat="1" applyFont="1" applyBorder="1" applyAlignment="1" applyProtection="1">
      <alignment horizontal="center"/>
    </xf>
    <xf numFmtId="2" fontId="10" fillId="3" borderId="24" xfId="3" applyNumberFormat="1" applyFont="1" applyBorder="1" applyAlignment="1" applyProtection="1">
      <alignment horizontal="center"/>
    </xf>
    <xf numFmtId="164" fontId="10" fillId="3" borderId="25" xfId="3" applyNumberFormat="1" applyFont="1" applyBorder="1" applyAlignment="1" applyProtection="1">
      <alignment horizontal="center"/>
    </xf>
    <xf numFmtId="164" fontId="10" fillId="0" borderId="23" xfId="3" applyNumberFormat="1" applyFont="1" applyFill="1" applyBorder="1" applyAlignment="1" applyProtection="1">
      <alignment horizontal="center"/>
    </xf>
    <xf numFmtId="2" fontId="10" fillId="0" borderId="11" xfId="3" applyNumberFormat="1" applyFont="1" applyFill="1" applyBorder="1" applyAlignment="1" applyProtection="1">
      <alignment horizontal="center"/>
    </xf>
    <xf numFmtId="164" fontId="10" fillId="0" borderId="11" xfId="3" applyNumberFormat="1" applyFont="1" applyFill="1" applyBorder="1" applyAlignment="1" applyProtection="1">
      <alignment horizontal="center"/>
    </xf>
    <xf numFmtId="164" fontId="10" fillId="14" borderId="23" xfId="3" applyNumberFormat="1" applyFont="1" applyFill="1" applyBorder="1" applyAlignment="1" applyProtection="1">
      <alignment horizontal="center"/>
    </xf>
    <xf numFmtId="2" fontId="10" fillId="14" borderId="11" xfId="3" applyNumberFormat="1" applyFont="1" applyFill="1" applyBorder="1" applyAlignment="1" applyProtection="1">
      <alignment horizontal="center"/>
    </xf>
    <xf numFmtId="164" fontId="10" fillId="14" borderId="11" xfId="3" applyNumberFormat="1" applyFont="1" applyFill="1" applyBorder="1" applyAlignment="1" applyProtection="1">
      <alignment horizontal="center"/>
    </xf>
    <xf numFmtId="164" fontId="10" fillId="14" borderId="12" xfId="3" applyNumberFormat="1" applyFont="1" applyFill="1" applyBorder="1" applyAlignment="1">
      <alignment horizontal="center"/>
    </xf>
    <xf numFmtId="2" fontId="10" fillId="14" borderId="24" xfId="3" applyNumberFormat="1" applyFont="1" applyFill="1" applyBorder="1" applyAlignment="1" applyProtection="1">
      <alignment horizontal="center"/>
    </xf>
    <xf numFmtId="0" fontId="5" fillId="16" borderId="4" xfId="5" applyFont="1" applyFill="1" applyBorder="1"/>
    <xf numFmtId="0" fontId="5" fillId="16" borderId="7" xfId="5" applyFont="1" applyFill="1" applyBorder="1"/>
    <xf numFmtId="0" fontId="5" fillId="16" borderId="9" xfId="5" applyFont="1" applyFill="1" applyBorder="1"/>
    <xf numFmtId="0" fontId="6" fillId="15" borderId="5" xfId="2" applyFont="1" applyFill="1" applyBorder="1" applyAlignment="1" applyProtection="1">
      <alignment horizontal="center"/>
      <protection locked="0"/>
    </xf>
    <xf numFmtId="0" fontId="6" fillId="15" borderId="14" xfId="2" applyFont="1" applyFill="1" applyBorder="1" applyAlignment="1" applyProtection="1">
      <alignment horizontal="center"/>
      <protection locked="0"/>
    </xf>
    <xf numFmtId="0" fontId="6" fillId="15" borderId="15" xfId="2" applyFont="1" applyFill="1" applyBorder="1" applyAlignment="1" applyProtection="1">
      <alignment horizontal="center"/>
      <protection locked="0"/>
    </xf>
    <xf numFmtId="0" fontId="6" fillId="18" borderId="16" xfId="2" applyFont="1" applyFill="1" applyBorder="1" applyAlignment="1" applyProtection="1">
      <alignment horizontal="center"/>
      <protection locked="0"/>
    </xf>
    <xf numFmtId="164" fontId="10" fillId="3" borderId="26" xfId="3" applyNumberFormat="1" applyFont="1" applyBorder="1" applyAlignment="1" applyProtection="1">
      <alignment horizontal="center"/>
    </xf>
    <xf numFmtId="164" fontId="10" fillId="3" borderId="27" xfId="3" applyNumberFormat="1" applyFont="1" applyBorder="1" applyAlignment="1">
      <alignment horizontal="center"/>
    </xf>
    <xf numFmtId="0" fontId="5" fillId="17" borderId="28" xfId="4" applyFont="1" applyFill="1" applyBorder="1"/>
    <xf numFmtId="0" fontId="11" fillId="17" borderId="28" xfId="4" applyFont="1" applyFill="1" applyBorder="1" applyAlignment="1">
      <alignment horizontal="right"/>
    </xf>
    <xf numFmtId="0" fontId="5" fillId="20" borderId="28" xfId="4" applyFont="1" applyFill="1" applyBorder="1"/>
    <xf numFmtId="0" fontId="11" fillId="20" borderId="28" xfId="4" applyFont="1" applyFill="1" applyBorder="1" applyAlignment="1">
      <alignment horizontal="right"/>
    </xf>
    <xf numFmtId="0" fontId="5" fillId="20" borderId="0" xfId="4" applyFont="1" applyFill="1" applyBorder="1"/>
    <xf numFmtId="0" fontId="11" fillId="20" borderId="0" xfId="4" applyFont="1" applyFill="1" applyBorder="1" applyAlignment="1">
      <alignment horizontal="right"/>
    </xf>
    <xf numFmtId="0" fontId="5" fillId="23" borderId="0" xfId="4" applyFont="1" applyFill="1" applyBorder="1"/>
    <xf numFmtId="0" fontId="11" fillId="23" borderId="0" xfId="4" applyFont="1" applyFill="1" applyBorder="1" applyAlignment="1">
      <alignment horizontal="right"/>
    </xf>
    <xf numFmtId="0" fontId="5" fillId="25" borderId="0" xfId="4" applyFont="1" applyFill="1" applyBorder="1"/>
    <xf numFmtId="0" fontId="11" fillId="25" borderId="0" xfId="4" applyFont="1" applyFill="1" applyBorder="1" applyAlignment="1">
      <alignment horizontal="right"/>
    </xf>
    <xf numFmtId="0" fontId="5" fillId="27" borderId="0" xfId="4" applyFont="1" applyFill="1" applyBorder="1"/>
    <xf numFmtId="0" fontId="11" fillId="27" borderId="0" xfId="4" applyFont="1" applyFill="1" applyBorder="1" applyAlignment="1">
      <alignment horizontal="right"/>
    </xf>
    <xf numFmtId="164" fontId="10" fillId="3" borderId="32" xfId="3" applyNumberFormat="1" applyFont="1" applyBorder="1" applyAlignment="1" applyProtection="1">
      <alignment horizontal="center"/>
    </xf>
    <xf numFmtId="2" fontId="10" fillId="3" borderId="32" xfId="3" applyNumberFormat="1" applyFont="1" applyBorder="1" applyAlignment="1" applyProtection="1">
      <alignment horizontal="center"/>
    </xf>
    <xf numFmtId="164" fontId="10" fillId="3" borderId="32" xfId="3" applyNumberFormat="1" applyFont="1" applyBorder="1" applyAlignment="1">
      <alignment horizontal="center"/>
    </xf>
    <xf numFmtId="2" fontId="6" fillId="18" borderId="16" xfId="2" applyNumberFormat="1" applyFont="1" applyFill="1" applyBorder="1" applyAlignment="1" applyProtection="1">
      <alignment horizontal="center"/>
      <protection locked="0"/>
    </xf>
    <xf numFmtId="2" fontId="6" fillId="18" borderId="14" xfId="2" applyNumberFormat="1" applyFont="1" applyFill="1" applyBorder="1" applyAlignment="1" applyProtection="1">
      <alignment horizontal="center"/>
      <protection locked="0"/>
    </xf>
    <xf numFmtId="2" fontId="6" fillId="21" borderId="14" xfId="2" applyNumberFormat="1" applyFont="1" applyFill="1" applyBorder="1" applyAlignment="1" applyProtection="1">
      <alignment horizontal="center"/>
      <protection locked="0"/>
    </xf>
    <xf numFmtId="1" fontId="6" fillId="18" borderId="14" xfId="2" applyNumberFormat="1" applyFont="1" applyFill="1" applyBorder="1" applyAlignment="1" applyProtection="1">
      <alignment horizontal="center"/>
      <protection locked="0"/>
    </xf>
    <xf numFmtId="0" fontId="13" fillId="24" borderId="29" xfId="0" applyFont="1" applyFill="1" applyBorder="1" applyAlignment="1">
      <alignment horizontal="center" vertical="center" textRotation="90" wrapText="1"/>
    </xf>
    <xf numFmtId="0" fontId="13" fillId="24" borderId="30" xfId="0" applyFont="1" applyFill="1" applyBorder="1" applyAlignment="1">
      <alignment horizontal="center" vertical="center" textRotation="90" wrapText="1"/>
    </xf>
    <xf numFmtId="0" fontId="13" fillId="24" borderId="31" xfId="0" applyFont="1" applyFill="1" applyBorder="1" applyAlignment="1">
      <alignment horizontal="center" vertical="center" textRotation="90" wrapText="1"/>
    </xf>
    <xf numFmtId="0" fontId="13" fillId="26" borderId="29" xfId="0" applyFont="1" applyFill="1" applyBorder="1" applyAlignment="1">
      <alignment horizontal="center" vertical="center" textRotation="90" wrapText="1"/>
    </xf>
    <xf numFmtId="0" fontId="13" fillId="26" borderId="30" xfId="0" applyFont="1" applyFill="1" applyBorder="1" applyAlignment="1">
      <alignment horizontal="center" vertical="center" textRotation="90" wrapText="1"/>
    </xf>
    <xf numFmtId="0" fontId="13" fillId="26" borderId="31" xfId="0" applyFont="1" applyFill="1" applyBorder="1" applyAlignment="1">
      <alignment horizontal="center" vertical="center" textRotation="90" wrapText="1"/>
    </xf>
    <xf numFmtId="0" fontId="13" fillId="16" borderId="29" xfId="0" applyFont="1" applyFill="1" applyBorder="1" applyAlignment="1">
      <alignment horizontal="center" vertical="center" textRotation="90" wrapText="1"/>
    </xf>
    <xf numFmtId="0" fontId="13" fillId="16" borderId="30" xfId="0" applyFont="1" applyFill="1" applyBorder="1" applyAlignment="1">
      <alignment horizontal="center" vertical="center" textRotation="90" wrapText="1"/>
    </xf>
    <xf numFmtId="0" fontId="13" fillId="16" borderId="31" xfId="0" applyFont="1" applyFill="1" applyBorder="1" applyAlignment="1">
      <alignment horizontal="center" vertical="center" textRotation="90" wrapText="1"/>
    </xf>
    <xf numFmtId="0" fontId="7" fillId="0" borderId="19" xfId="1" applyFont="1" applyBorder="1" applyAlignment="1" applyProtection="1">
      <alignment horizontal="center"/>
    </xf>
    <xf numFmtId="0" fontId="7" fillId="0" borderId="18" xfId="1" applyFont="1" applyBorder="1" applyAlignment="1" applyProtection="1">
      <alignment horizontal="center"/>
    </xf>
    <xf numFmtId="0" fontId="7" fillId="0" borderId="20" xfId="1" applyFont="1" applyBorder="1" applyAlignment="1" applyProtection="1">
      <alignment horizontal="center"/>
    </xf>
    <xf numFmtId="0" fontId="13" fillId="22" borderId="29" xfId="0" applyFont="1" applyFill="1" applyBorder="1" applyAlignment="1">
      <alignment horizontal="center" vertical="center" textRotation="90" wrapText="1"/>
    </xf>
    <xf numFmtId="0" fontId="13" fillId="22" borderId="30" xfId="0" applyFont="1" applyFill="1" applyBorder="1" applyAlignment="1">
      <alignment horizontal="center" vertical="center" textRotation="90" wrapText="1"/>
    </xf>
    <xf numFmtId="0" fontId="7" fillId="0" borderId="17" xfId="1" applyFont="1" applyBorder="1" applyAlignment="1" applyProtection="1">
      <alignment horizontal="center"/>
    </xf>
    <xf numFmtId="0" fontId="13" fillId="19" borderId="29" xfId="0" applyFont="1" applyFill="1" applyBorder="1" applyAlignment="1">
      <alignment horizontal="center" vertical="center" textRotation="90" wrapText="1"/>
    </xf>
    <xf numFmtId="0" fontId="13" fillId="19" borderId="30" xfId="0" applyFont="1" applyFill="1" applyBorder="1" applyAlignment="1">
      <alignment horizontal="center" vertical="center" textRotation="90" wrapText="1"/>
    </xf>
    <xf numFmtId="0" fontId="13" fillId="19" borderId="31" xfId="0" applyFont="1" applyFill="1" applyBorder="1" applyAlignment="1">
      <alignment horizontal="center" vertical="center" textRotation="90" wrapText="1"/>
    </xf>
    <xf numFmtId="0" fontId="5" fillId="6" borderId="34" xfId="0" applyFont="1" applyFill="1" applyBorder="1" applyAlignment="1">
      <alignment horizontal="center"/>
    </xf>
    <xf numFmtId="0" fontId="5" fillId="7" borderId="34" xfId="0" applyFont="1" applyFill="1" applyBorder="1" applyAlignment="1">
      <alignment horizontal="center"/>
    </xf>
    <xf numFmtId="0" fontId="5" fillId="8" borderId="34" xfId="0" applyFont="1" applyFill="1" applyBorder="1" applyAlignment="1">
      <alignment horizontal="center"/>
    </xf>
    <xf numFmtId="0" fontId="5" fillId="9" borderId="34" xfId="0" applyFont="1" applyFill="1" applyBorder="1" applyAlignment="1">
      <alignment horizontal="center"/>
    </xf>
    <xf numFmtId="0" fontId="5" fillId="10" borderId="34" xfId="0" applyFont="1" applyFill="1" applyBorder="1" applyAlignment="1">
      <alignment horizontal="center"/>
    </xf>
    <xf numFmtId="0" fontId="5" fillId="11" borderId="34" xfId="0" applyFont="1" applyFill="1" applyBorder="1" applyAlignment="1">
      <alignment horizontal="center"/>
    </xf>
    <xf numFmtId="0" fontId="5" fillId="12" borderId="34" xfId="0" applyFont="1" applyFill="1" applyBorder="1" applyAlignment="1">
      <alignment horizontal="center"/>
    </xf>
    <xf numFmtId="0" fontId="5" fillId="13" borderId="35" xfId="0" applyFont="1" applyFill="1" applyBorder="1" applyAlignment="1">
      <alignment horizontal="center"/>
    </xf>
    <xf numFmtId="0" fontId="5" fillId="6" borderId="36" xfId="0" applyFont="1" applyFill="1" applyBorder="1" applyAlignment="1">
      <alignment horizontal="center"/>
    </xf>
    <xf numFmtId="0" fontId="5" fillId="7" borderId="36" xfId="0" applyFont="1" applyFill="1" applyBorder="1" applyAlignment="1">
      <alignment horizontal="center"/>
    </xf>
    <xf numFmtId="0" fontId="5" fillId="8" borderId="36" xfId="0" applyFont="1" applyFill="1" applyBorder="1" applyAlignment="1">
      <alignment horizontal="center"/>
    </xf>
    <xf numFmtId="0" fontId="5" fillId="9" borderId="36" xfId="0" applyFont="1" applyFill="1" applyBorder="1" applyAlignment="1">
      <alignment horizontal="center"/>
    </xf>
    <xf numFmtId="0" fontId="5" fillId="10" borderId="36" xfId="0" applyFont="1" applyFill="1" applyBorder="1" applyAlignment="1">
      <alignment horizontal="center"/>
    </xf>
    <xf numFmtId="0" fontId="5" fillId="11" borderId="36" xfId="0" applyFont="1" applyFill="1" applyBorder="1" applyAlignment="1">
      <alignment horizontal="center"/>
    </xf>
    <xf numFmtId="0" fontId="5" fillId="12" borderId="36" xfId="0" applyFont="1" applyFill="1" applyBorder="1" applyAlignment="1">
      <alignment horizontal="center"/>
    </xf>
    <xf numFmtId="0" fontId="5" fillId="13" borderId="37" xfId="0" applyFont="1" applyFill="1" applyBorder="1" applyAlignment="1">
      <alignment horizontal="center"/>
    </xf>
    <xf numFmtId="0" fontId="5" fillId="14" borderId="33" xfId="0" applyFont="1" applyFill="1" applyBorder="1" applyAlignment="1">
      <alignment horizontal="right"/>
    </xf>
  </cellXfs>
  <cellStyles count="6">
    <cellStyle name="40% - Accent1" xfId="4" builtinId="31"/>
    <cellStyle name="40% - Accent2" xfId="5" builtinId="35"/>
    <cellStyle name="Calculation" xfId="3" builtinId="22"/>
    <cellStyle name="Heading 2" xfId="1" builtinId="17"/>
    <cellStyle name="Input" xfId="2" builtinId="20"/>
    <cellStyle name="Normal" xfId="0" builtinId="0"/>
  </cellStyles>
  <dxfs count="248">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93300"/>
        </patternFill>
      </fill>
    </dxf>
    <dxf>
      <fill>
        <patternFill>
          <bgColor rgb="FFFF6700"/>
        </patternFill>
      </fill>
    </dxf>
    <dxf>
      <fill>
        <patternFill>
          <bgColor rgb="FF00B050"/>
        </patternFill>
      </fill>
    </dxf>
    <dxf>
      <fill>
        <patternFill>
          <bgColor rgb="FF92D050"/>
        </patternFill>
      </fill>
    </dxf>
    <dxf>
      <fill>
        <patternFill>
          <bgColor rgb="FFFFFF00"/>
        </patternFill>
      </fill>
    </dxf>
    <dxf>
      <fill>
        <patternFill>
          <bgColor rgb="FFFFCC99"/>
        </patternFill>
      </fill>
    </dxf>
    <dxf>
      <font>
        <color auto="1"/>
      </font>
      <fill>
        <patternFill>
          <bgColor rgb="FF983300"/>
        </patternFill>
      </fill>
    </dxf>
    <dxf>
      <fill>
        <patternFill>
          <fgColor rgb="FFFF6600"/>
          <bgColor rgb="FFFF6600"/>
        </patternFill>
      </fill>
    </dxf>
    <dxf>
      <font>
        <color theme="1"/>
      </font>
      <fill>
        <patternFill>
          <bgColor rgb="FFFF0000"/>
        </patternFill>
      </fill>
    </dxf>
    <dxf>
      <fill>
        <patternFill>
          <bgColor rgb="FFFFFF99"/>
        </patternFill>
      </fill>
    </dxf>
  </dxfs>
  <tableStyles count="0" defaultTableStyle="TableStyleMedium2" defaultPivotStyle="PivotStyleLight16"/>
  <colors>
    <mruColors>
      <color rgb="FFFF0000"/>
      <color rgb="FFFF6600"/>
      <color rgb="FFFFCC99"/>
      <color rgb="FFFEFF98"/>
      <color rgb="FFFDFD00"/>
      <color rgb="FF9ACD01"/>
      <color rgb="FF008004"/>
      <color rgb="FFDECDFF"/>
      <color rgb="FFEFDFF6"/>
      <color rgb="FFEBC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9AD90-94E4-494C-9031-D8943E72DB54}">
  <dimension ref="A1:M68"/>
  <sheetViews>
    <sheetView tabSelected="1" topLeftCell="B38" zoomScale="85" zoomScaleNormal="85" workbookViewId="0">
      <selection activeCell="E72" sqref="E72"/>
    </sheetView>
  </sheetViews>
  <sheetFormatPr baseColWidth="10" defaultRowHeight="16" x14ac:dyDescent="0.2"/>
  <cols>
    <col min="2" max="2" width="46" customWidth="1"/>
    <col min="3" max="3" width="18.33203125" bestFit="1" customWidth="1"/>
    <col min="4" max="4" width="17.83203125" bestFit="1" customWidth="1"/>
    <col min="5" max="5" width="22.33203125" bestFit="1" customWidth="1"/>
    <col min="6" max="6" width="16.6640625" bestFit="1" customWidth="1"/>
    <col min="7" max="7" width="13.6640625" bestFit="1" customWidth="1"/>
    <col min="8" max="8" width="12.83203125" bestFit="1" customWidth="1"/>
    <col min="9" max="9" width="14.1640625" bestFit="1" customWidth="1"/>
    <col min="10" max="10" width="12.83203125" bestFit="1" customWidth="1"/>
    <col min="11" max="11" width="14.6640625" bestFit="1" customWidth="1"/>
    <col min="12" max="12" width="11.5" customWidth="1"/>
  </cols>
  <sheetData>
    <row r="1" spans="1:13" ht="18" thickBot="1" x14ac:dyDescent="0.25">
      <c r="C1" s="1" t="s">
        <v>0</v>
      </c>
    </row>
    <row r="2" spans="1:13" ht="21" thickTop="1" thickBot="1" x14ac:dyDescent="0.3">
      <c r="B2" s="22" t="s">
        <v>1</v>
      </c>
      <c r="C2" s="25">
        <v>1</v>
      </c>
      <c r="D2" s="2"/>
    </row>
    <row r="3" spans="1:13" ht="20" thickBot="1" x14ac:dyDescent="0.3">
      <c r="B3" s="23" t="s">
        <v>2</v>
      </c>
      <c r="C3" s="26">
        <v>37</v>
      </c>
      <c r="D3" s="64" t="s">
        <v>3</v>
      </c>
      <c r="E3" s="60"/>
      <c r="F3" s="59" t="s">
        <v>4</v>
      </c>
      <c r="G3" s="60"/>
      <c r="H3" s="59" t="s">
        <v>5</v>
      </c>
      <c r="I3" s="60"/>
      <c r="J3" s="59" t="s">
        <v>6</v>
      </c>
      <c r="K3" s="60"/>
      <c r="L3" s="59" t="s">
        <v>7</v>
      </c>
      <c r="M3" s="61"/>
    </row>
    <row r="4" spans="1:13" ht="21" thickTop="1" thickBot="1" x14ac:dyDescent="0.3">
      <c r="B4" s="24" t="s">
        <v>8</v>
      </c>
      <c r="C4" s="27">
        <v>12</v>
      </c>
      <c r="D4" s="9" t="s">
        <v>9</v>
      </c>
      <c r="E4" s="3" t="s">
        <v>10</v>
      </c>
      <c r="F4" s="3" t="s">
        <v>9</v>
      </c>
      <c r="G4" s="3" t="s">
        <v>10</v>
      </c>
      <c r="H4" s="3" t="s">
        <v>9</v>
      </c>
      <c r="I4" s="3" t="s">
        <v>10</v>
      </c>
      <c r="J4" s="3" t="s">
        <v>9</v>
      </c>
      <c r="K4" s="3" t="s">
        <v>10</v>
      </c>
      <c r="L4" s="3" t="s">
        <v>9</v>
      </c>
      <c r="M4" s="10" t="s">
        <v>10</v>
      </c>
    </row>
    <row r="5" spans="1:13" ht="21" customHeight="1" thickTop="1" thickBot="1" x14ac:dyDescent="0.3">
      <c r="A5" s="65" t="s">
        <v>31</v>
      </c>
      <c r="B5" s="31" t="s">
        <v>20</v>
      </c>
      <c r="C5" s="28"/>
      <c r="D5" s="11"/>
      <c r="E5" s="5"/>
      <c r="F5" s="4"/>
      <c r="G5" s="5"/>
      <c r="H5" s="4"/>
      <c r="I5" s="5"/>
      <c r="J5" s="4"/>
      <c r="K5" s="5"/>
      <c r="L5" s="6"/>
      <c r="M5" s="12"/>
    </row>
    <row r="6" spans="1:13" ht="21" customHeight="1" thickTop="1" thickBot="1" x14ac:dyDescent="0.25">
      <c r="A6" s="66"/>
      <c r="B6" s="32" t="s">
        <v>49</v>
      </c>
      <c r="C6" s="46">
        <v>15.083999633789062</v>
      </c>
      <c r="D6" s="11">
        <f>(((1/C6)-(0.1000843 + (0.0011815*C2) + (-0.0006775*C3) + (-0.0003212*C4)))/(0.0183599))</f>
        <v>-0.32944003142762851</v>
      </c>
      <c r="E6" s="5">
        <f>NORMSDIST(D6)*100</f>
        <v>37.091155710169488</v>
      </c>
      <c r="F6" s="11">
        <f>(((1/C6)-(0.0747778+(-0.0029626*C2)))/(0.0212187))</f>
        <v>-0.26013780453129187</v>
      </c>
      <c r="G6" s="5">
        <f>NORMSDIST(F6)*100</f>
        <v>39.73787388346188</v>
      </c>
      <c r="H6" s="11">
        <f>(((1/C6)-(0.1070016+(-0.0006732*C3)))/(0.0184179))</f>
        <v>-0.85774089516221275</v>
      </c>
      <c r="I6" s="5">
        <f>NORMSDIST(H6)*100</f>
        <v>19.551777648094053</v>
      </c>
      <c r="J6" s="11">
        <f>(((1/C6)-(0.0635417+(0.0003898*C4)))/(0.0212016))</f>
        <v>-9.0742492689614165E-2</v>
      </c>
      <c r="K6" s="5">
        <f>NORMSDIST(J6)*100</f>
        <v>46.38486028034756</v>
      </c>
      <c r="L6" s="6">
        <f>((1/C6)-0.06982)/(0.0212642)</f>
        <v>-0.16575211073109292</v>
      </c>
      <c r="M6" s="5">
        <f>NORMSDIST(L6)*100</f>
        <v>43.417601739113543</v>
      </c>
    </row>
    <row r="7" spans="1:13" ht="21" thickTop="1" thickBot="1" x14ac:dyDescent="0.3">
      <c r="A7" s="66"/>
      <c r="B7" s="31" t="s">
        <v>21</v>
      </c>
      <c r="C7" s="47"/>
      <c r="D7" s="11"/>
      <c r="E7" s="5"/>
      <c r="F7" s="4"/>
      <c r="G7" s="5"/>
      <c r="H7" s="4"/>
      <c r="I7" s="5"/>
      <c r="J7" s="4"/>
      <c r="K7" s="5"/>
      <c r="L7" s="6"/>
      <c r="M7" s="12"/>
    </row>
    <row r="8" spans="1:13" ht="18" thickTop="1" thickBot="1" x14ac:dyDescent="0.25">
      <c r="A8" s="66"/>
      <c r="B8" s="32" t="s">
        <v>49</v>
      </c>
      <c r="C8" s="47">
        <v>35.909000396728516</v>
      </c>
      <c r="D8" s="11">
        <f>(-1)*((((LN(C8))-(2.990671+(-0.045563*C2)+(0.0120796*C3)+(-0.0083973*C4)))/(0.4141003)))</f>
        <v>-0.69959469119472073</v>
      </c>
      <c r="E8" s="5">
        <f>NORMSDIST(D8)*100</f>
        <v>24.20902294434369</v>
      </c>
      <c r="F8" s="11">
        <f>(-1)*((((LN(C8))-(3.399536+(0.0279434*C2)))/(0.456326)))</f>
        <v>-0.3364011068888057</v>
      </c>
      <c r="G8" s="5">
        <f>NORMSDIST(F8)*100</f>
        <v>36.828420744874059</v>
      </c>
      <c r="H8" s="11">
        <f>(-1)*((((LN(C8))-(2.789714+(0.0118886*C3)))/(0.4161537)))</f>
        <v>-0.84438939627868492</v>
      </c>
      <c r="I8" s="5">
        <f>NORMSDIST(H8)*100</f>
        <v>19.922592289312448</v>
      </c>
      <c r="J8" s="11">
        <f>(-1)*((((LN(C8))-(3.601954+(-0.0096636*C4)))/(0.4547222)))</f>
        <v>-0.20891254375119733</v>
      </c>
      <c r="K8" s="5">
        <f>NORMSDIST(J8)*100</f>
        <v>41.725825586180989</v>
      </c>
      <c r="L8" s="6">
        <f>(-1)*((LN(C8))-3.446299)/(0.4565142)</f>
        <v>-0.29503785753464207</v>
      </c>
      <c r="M8" s="5">
        <f>NORMSDIST(L8)*100</f>
        <v>38.398248003874059</v>
      </c>
    </row>
    <row r="9" spans="1:13" ht="21" thickTop="1" thickBot="1" x14ac:dyDescent="0.3">
      <c r="A9" s="66"/>
      <c r="B9" s="31" t="s">
        <v>26</v>
      </c>
      <c r="C9" s="47"/>
      <c r="D9" s="11"/>
      <c r="E9" s="5"/>
      <c r="F9" s="4"/>
      <c r="G9" s="5"/>
      <c r="H9" s="4"/>
      <c r="I9" s="5"/>
      <c r="J9" s="4"/>
      <c r="K9" s="5"/>
      <c r="L9" s="6"/>
      <c r="M9" s="12"/>
    </row>
    <row r="10" spans="1:13" ht="18" thickTop="1" thickBot="1" x14ac:dyDescent="0.25">
      <c r="A10" s="66"/>
      <c r="B10" s="32" t="s">
        <v>23</v>
      </c>
      <c r="C10" s="47">
        <v>1.221250057220459</v>
      </c>
      <c r="D10" s="11">
        <f>(((1/C10)-(1.093117 + (0.0247421*C2) + (-0.005846*C3) + (0.0005449*C4)))/(0.1265281))</f>
        <v>-0.7054778790049302</v>
      </c>
      <c r="E10" s="5">
        <f>NORMSDIST(D10)*100</f>
        <v>24.025644674811055</v>
      </c>
      <c r="F10" s="11">
        <f>(((1/C10)-(0.8382033+(-0.0106479*C2)))/(0.1557331))</f>
        <v>-5.6007846902962184E-2</v>
      </c>
      <c r="G10" s="5">
        <f>NORMSDIST(F10)*100</f>
        <v>47.766777802544283</v>
      </c>
      <c r="H10" s="11">
        <f>(((1/C10)-(1.136246+(-0.0057179*C3)))/(0.1270654))</f>
        <v>-0.83304011652679544</v>
      </c>
      <c r="I10" s="5">
        <f t="shared" ref="I10:K12" si="0">NORMSDIST(H10)*100</f>
        <v>20.241105236214814</v>
      </c>
      <c r="J10" s="11">
        <f>(((1/C10)-(0.8001966+(0.0012533*C4)))/(0.1557252))</f>
        <v>2.3097895379014844E-2</v>
      </c>
      <c r="K10" s="5">
        <f t="shared" si="0"/>
        <v>50.921390775811737</v>
      </c>
      <c r="L10" s="6">
        <f>((1/C10)-0.8203712)/(0.155813)</f>
        <v>-9.8712920136556428E-3</v>
      </c>
      <c r="M10" s="12">
        <f>NORMSDIST(L10)*100</f>
        <v>49.60619882085583</v>
      </c>
    </row>
    <row r="11" spans="1:13" ht="18" thickTop="1" thickBot="1" x14ac:dyDescent="0.25">
      <c r="A11" s="66"/>
      <c r="B11" s="32" t="s">
        <v>37</v>
      </c>
      <c r="C11" s="47">
        <v>24</v>
      </c>
      <c r="D11" s="11">
        <f>((C11-(31.86928 + (0.7660369*C2) + (-0.1713133*C3) + (0.0203977*C4)))/(3.773063))</f>
        <v>-0.67358991885372665</v>
      </c>
      <c r="E11" s="5">
        <f>NORMSDIST(D11)*100</f>
        <v>25.028603207288953</v>
      </c>
      <c r="F11" s="11">
        <f>((C11-(24.46958 + (-0.2705026*C2)))/(4.617486))</f>
        <v>-4.3113806950362203E-2</v>
      </c>
      <c r="G11" s="5">
        <f>NORMSDIST(F11)*100</f>
        <v>48.280540658942286</v>
      </c>
      <c r="H11" s="11">
        <f>((C11-(33.26295 + (-0.1673752*C3)))/(3.79066))</f>
        <v>-0.80990318308684883</v>
      </c>
      <c r="I11" s="5">
        <f>NORMSDIST(H11)*100</f>
        <v>20.899791113206014</v>
      </c>
      <c r="J11" s="11">
        <f>((C11-(23.353+(0.0412219*C4)))/(4.61602))</f>
        <v>3.3001850078638754E-2</v>
      </c>
      <c r="K11" s="5">
        <f t="shared" si="0"/>
        <v>51.316344385152355</v>
      </c>
      <c r="L11" s="6">
        <f>(C11-24.01657)/(4.619226)</f>
        <v>-3.5871810558741933E-3</v>
      </c>
      <c r="M11" s="12">
        <f>NORMSDIST(L11)*100</f>
        <v>49.856892487850502</v>
      </c>
    </row>
    <row r="12" spans="1:13" ht="18" thickTop="1" thickBot="1" x14ac:dyDescent="0.25">
      <c r="A12" s="66"/>
      <c r="B12" s="32" t="s">
        <v>34</v>
      </c>
      <c r="C12" s="47">
        <v>19.651994705200195</v>
      </c>
      <c r="D12" s="11">
        <f>((C12-(34.38847 + (1.069366*C2) + (-0.2921869*C3) + (0.0233562*C4)))/(6.17341))</f>
        <v>-0.85450349074495358</v>
      </c>
      <c r="E12" s="5">
        <f>NORMSDIST(D12)*100</f>
        <v>19.641303804639698</v>
      </c>
      <c r="F12" s="11">
        <f>((C12-(21.58608 + (-0.6999401*C2)))/(7.6613))</f>
        <v>-0.16108822194664152</v>
      </c>
      <c r="G12" s="5">
        <f>NORMSDIST(F12)*100</f>
        <v>43.601195831020441</v>
      </c>
      <c r="H12" s="11">
        <f>((C12-(36.24934 + (-0.2866483*C3)))/(6.193975))</f>
        <v>-0.96728808153081036</v>
      </c>
      <c r="I12" s="5">
        <f>NORMSDIST(H12)*100</f>
        <v>16.670002006567557</v>
      </c>
      <c r="J12" s="11">
        <f>((C12-(19.47214+(0.0585033*C4)))/(7.664429))</f>
        <v>-6.813095858801789E-2</v>
      </c>
      <c r="K12" s="5">
        <f t="shared" si="0"/>
        <v>47.284069310819547</v>
      </c>
      <c r="L12" s="6">
        <f>(C12-20.41389)/(7.668318)</f>
        <v>-9.9356246676233717E-2</v>
      </c>
      <c r="M12" s="12">
        <f>NORMSDIST(L12)*100</f>
        <v>46.042771045253325</v>
      </c>
    </row>
    <row r="13" spans="1:13" ht="21" thickTop="1" thickBot="1" x14ac:dyDescent="0.3">
      <c r="A13" s="66"/>
      <c r="B13" s="31" t="s">
        <v>27</v>
      </c>
      <c r="C13" s="47"/>
      <c r="D13" s="11"/>
      <c r="E13" s="5"/>
      <c r="F13" s="29"/>
      <c r="G13" s="5"/>
      <c r="H13" s="29"/>
      <c r="I13" s="5"/>
      <c r="J13" s="29"/>
      <c r="K13" s="5"/>
      <c r="L13" s="6"/>
      <c r="M13" s="12"/>
    </row>
    <row r="14" spans="1:13" ht="18" thickTop="1" thickBot="1" x14ac:dyDescent="0.25">
      <c r="A14" s="66"/>
      <c r="B14" s="32" t="s">
        <v>23</v>
      </c>
      <c r="C14" s="47">
        <v>1.0552500486373901</v>
      </c>
      <c r="D14" s="11">
        <f>(((1/C14)-(1.200867 + (0.0120798*C2) + (-0.0053401*C3) + (0.0002686*C4)))/(0.1210063))</f>
        <v>-0.58628025970681741</v>
      </c>
      <c r="E14" s="5">
        <f>NORMSDIST(D14)*100</f>
        <v>27.884359717887179</v>
      </c>
      <c r="F14" s="4">
        <f>(((1/C14)-(0.9645315+(-0.0204814*C2)))/(0.1466459))</f>
        <v>2.4498434731819192E-2</v>
      </c>
      <c r="G14" s="5">
        <f>NORMSDIST(F14)*100</f>
        <v>50.977248387774431</v>
      </c>
      <c r="H14" s="4">
        <f>(((1/C14)-(1.22194+(-0.005277*C3)))/(0.1211407))</f>
        <v>-0.6525330049286584</v>
      </c>
      <c r="I14" s="5">
        <f>NORMSDIST(H14)*100</f>
        <v>25.70286942052169</v>
      </c>
      <c r="J14" s="4">
        <f>(((1/C14)-(0.9160492+(0.0008794*C4)))/(0.1469138))</f>
        <v>0.14321796189220379</v>
      </c>
      <c r="K14" s="5">
        <f>NORMSDIST(J14)*100</f>
        <v>55.694097774209709</v>
      </c>
      <c r="L14" s="6">
        <f>((1/C14)-0.930209)/(0.1469596)</f>
        <v>0.11862916753882656</v>
      </c>
      <c r="M14" s="5">
        <f>NORMSDIST(L14)*100</f>
        <v>54.721542191825435</v>
      </c>
    </row>
    <row r="15" spans="1:13" ht="18" thickTop="1" thickBot="1" x14ac:dyDescent="0.25">
      <c r="A15" s="66"/>
      <c r="B15" s="32" t="s">
        <v>37</v>
      </c>
      <c r="C15" s="47">
        <v>28</v>
      </c>
      <c r="D15" s="11">
        <f>((C15-(35.13255 + (0.3949066*C2) + (-0.1551574*C3) + (0.007064*C4)))/(3.596158))</f>
        <v>-0.52038892618177512</v>
      </c>
      <c r="E15" s="5">
        <f>NORMSDIST(D15)*100</f>
        <v>30.139626339279225</v>
      </c>
      <c r="F15" s="11">
        <f>((C15-(28.25408 + (-0.5512938*C2)))/(4.327243))</f>
        <v>6.8684333188591795E-2</v>
      </c>
      <c r="G15" s="5">
        <f>NORMSDIST(F15)*100</f>
        <v>52.73795554724132</v>
      </c>
      <c r="H15" s="11">
        <f>((C15-(35.79307 + (-0.1530813*C3)))/(3.600918))</f>
        <v>-0.59125531322846003</v>
      </c>
      <c r="I15" s="5">
        <f>NORMSDIST(H15)*100</f>
        <v>27.717468309044623</v>
      </c>
      <c r="J15" s="11">
        <f>((C15-(26.92914+(0.0249083*C4)))/(4.333702))</f>
        <v>0.17812955297803151</v>
      </c>
      <c r="K15" s="5">
        <f>NORMSDIST(J15)*100</f>
        <v>57.068938337464793</v>
      </c>
      <c r="L15" s="6">
        <f>(C15-27.33082)/(4.334947)</f>
        <v>0.15436866932859866</v>
      </c>
      <c r="M15" s="5">
        <f>NORMSDIST(L15)*100</f>
        <v>56.134047211231739</v>
      </c>
    </row>
    <row r="16" spans="1:13" ht="18" thickTop="1" thickBot="1" x14ac:dyDescent="0.25">
      <c r="A16" s="66"/>
      <c r="B16" s="32" t="s">
        <v>34</v>
      </c>
      <c r="C16" s="47">
        <v>26.533994674682617</v>
      </c>
      <c r="D16" s="11">
        <f>((C16-(41.58941 + (0.6013559*C2) + (-0.3008375*C3) + (0.0054294*C4)))/(6.723015))</f>
        <v>-0.68286870181271131</v>
      </c>
      <c r="E16" s="5">
        <f>NORMSDIST(D16)*100</f>
        <v>24.73449063045452</v>
      </c>
      <c r="F16" s="11">
        <f>((C16-(28.12169 + (-1.234684*C2)))/(8.183066))</f>
        <v>-4.3139249435038447E-2</v>
      </c>
      <c r="G16" s="5">
        <f>NORMSDIST(F16)*100</f>
        <v>48.279526594123631</v>
      </c>
      <c r="H16" s="11">
        <f>((C16-(42.50706 + (-0.2976353*C3)))/(6.728785))</f>
        <v>-0.73721470151258894</v>
      </c>
      <c r="I16" s="5">
        <f>NORMSDIST(H16)*100</f>
        <v>23.049589723645063</v>
      </c>
      <c r="J16" s="11">
        <f>((C16-(25.41424+(0.039668*C4)))/(8.201825))</f>
        <v>7.8487248226171175E-2</v>
      </c>
      <c r="K16" s="5">
        <f>NORMSDIST(J16)*100</f>
        <v>53.127976331387785</v>
      </c>
      <c r="L16" s="6">
        <f>(C16-26.05394)/(8.203493)</f>
        <v>5.8518325630632757E-2</v>
      </c>
      <c r="M16" s="5">
        <f>NORMSDIST(L16)*100</f>
        <v>52.333211711769565</v>
      </c>
    </row>
    <row r="17" spans="1:13" ht="21" thickTop="1" thickBot="1" x14ac:dyDescent="0.3">
      <c r="A17" s="66"/>
      <c r="B17" s="31" t="s">
        <v>22</v>
      </c>
      <c r="C17" s="47"/>
      <c r="D17" s="17"/>
      <c r="E17" s="18"/>
      <c r="F17" s="19"/>
      <c r="G17" s="18"/>
      <c r="H17" s="19"/>
      <c r="I17" s="18"/>
      <c r="J17" s="19"/>
      <c r="K17" s="18"/>
      <c r="L17" s="20"/>
      <c r="M17" s="21"/>
    </row>
    <row r="18" spans="1:13" ht="18" thickTop="1" thickBot="1" x14ac:dyDescent="0.25">
      <c r="A18" s="66"/>
      <c r="B18" s="32" t="s">
        <v>23</v>
      </c>
      <c r="C18" s="47">
        <v>1.5573077201843262</v>
      </c>
      <c r="D18" s="11">
        <f>(((1/C18)-(0.9152359 + (0.014012*C2) + (-0.0052435*C3) + (0.0009746*C4)))/(0.1182095))</f>
        <v>-0.88655946672761898</v>
      </c>
      <c r="E18" s="5">
        <f>NORMSDIST(D18)*100</f>
        <v>18.7658062316467</v>
      </c>
      <c r="F18" s="4">
        <f>(((1/C18)-(0.6941047+(-0.0177611*C2)))/(0.1435628))</f>
        <v>-0.23829119578427305</v>
      </c>
      <c r="G18" s="5">
        <f>NORMSDIST(F18)*100</f>
        <v>40.582762472574856</v>
      </c>
      <c r="H18" s="4">
        <f>(((1/C18)-(0.9506233+(-0.0051749*C3)))/(0.1184595))</f>
        <v>-0.98783256118874663</v>
      </c>
      <c r="I18" s="5">
        <f>NORMSDIST(H18)*100</f>
        <v>16.161732894070127</v>
      </c>
      <c r="J18" s="4">
        <f>(((1/C18)-(0.6400901+(0.0015049*C4)))/(0.1436663))</f>
        <v>-0.11147395932197339</v>
      </c>
      <c r="K18" s="5">
        <f>NORMSDIST(J18)*100</f>
        <v>45.562025716539551</v>
      </c>
      <c r="L18" s="6">
        <f>((1/C18)-0.6643394)/(0.1438034)</f>
        <v>-0.15441603802231668</v>
      </c>
      <c r="M18" s="12">
        <f>NORMSDIST(L18)*100</f>
        <v>43.864085440446694</v>
      </c>
    </row>
    <row r="19" spans="1:13" ht="18" thickTop="1" thickBot="1" x14ac:dyDescent="0.25">
      <c r="A19" s="66"/>
      <c r="B19" s="32" t="s">
        <v>37</v>
      </c>
      <c r="C19" s="47">
        <v>39</v>
      </c>
      <c r="D19" s="11">
        <f>((C19-(48.09524 + (1.345598*C2) + (-0.2976958*C3) + (0.1574992*C4)))/(8.906376))</f>
        <v>-0.14776872209302652</v>
      </c>
      <c r="E19" s="5">
        <f t="shared" ref="E19:E55" si="1">NORMSDIST(D19)*100</f>
        <v>44.126264722810873</v>
      </c>
      <c r="F19" s="4">
        <f>((C19-(37.16494 + (-0.4451298*C2)))/(10.06018))</f>
        <v>0.22665497038820329</v>
      </c>
      <c r="G19" s="5">
        <f>NORMSDIST(F19)*100</f>
        <v>58.965397787261551</v>
      </c>
      <c r="H19" s="4">
        <f>((C19-(52.54737 + (-0.2915361*C3)))/(8.952911))</f>
        <v>-0.30833929880460148</v>
      </c>
      <c r="I19" s="5">
        <f>NORMSDIST(H19)*100</f>
        <v>37.891208281612521</v>
      </c>
      <c r="J19" s="4">
        <f xml:space="preserve"> ((C19-(33.38155 + (0.1885023*C4)))/(10.03156))</f>
        <v>0.3345862856823863</v>
      </c>
      <c r="K19" s="5">
        <f t="shared" ref="K19:K50" si="2">NORMSDIST(J19)*100</f>
        <v>63.103140416826605</v>
      </c>
      <c r="L19" s="6">
        <f>(C19-36.41897)/10.06233</f>
        <v>0.25650420926365947</v>
      </c>
      <c r="M19" s="12">
        <f>NORMSDIST(L19)*100</f>
        <v>60.121923469054515</v>
      </c>
    </row>
    <row r="20" spans="1:13" ht="18" thickTop="1" thickBot="1" x14ac:dyDescent="0.25">
      <c r="A20" s="66"/>
      <c r="B20" s="32" t="s">
        <v>34</v>
      </c>
      <c r="C20" s="47">
        <v>25.043220520019531</v>
      </c>
      <c r="D20" s="11">
        <f>(((C20-(43.17179 + (1.247025*C2) + (-0.3992982*C3) + (0.1143294*C4))))/(9.159169))</f>
        <v>-0.65218950321589975</v>
      </c>
      <c r="E20" s="5">
        <f t="shared" si="1"/>
        <v>25.713946531063858</v>
      </c>
      <c r="F20" s="4">
        <f>((C20-(26.97018 + (-1.167359*C2)))/(11.07104))</f>
        <v>-6.8611483652887786E-2</v>
      </c>
      <c r="G20" s="5">
        <f>NORMSDIST(F20)*100</f>
        <v>47.264943888845387</v>
      </c>
      <c r="H20" s="4">
        <f>((C20-(46.77619 + (-0.3933751*C3)))/(9.190105))</f>
        <v>-0.78106733056700273</v>
      </c>
      <c r="I20" s="5">
        <f>NORMSDIST(H20)*100</f>
        <v>21.738144761030927</v>
      </c>
      <c r="J20" s="4">
        <f xml:space="preserve"> ((C20-(22.51613 + (0.1550085*C4)))/(11.06564))</f>
        <v>6.027563882608955E-2</v>
      </c>
      <c r="K20" s="5">
        <f t="shared" si="2"/>
        <v>52.403194796976173</v>
      </c>
      <c r="L20" s="6">
        <f>(C20-25.01385)/11.08452</f>
        <v>2.6496880351634332E-3</v>
      </c>
      <c r="M20" s="12">
        <f>NORMSDIST(L20)*100</f>
        <v>50.105707135017767</v>
      </c>
    </row>
    <row r="21" spans="1:13" ht="21" thickTop="1" thickBot="1" x14ac:dyDescent="0.3">
      <c r="A21" s="66"/>
      <c r="B21" s="31" t="s">
        <v>24</v>
      </c>
      <c r="C21" s="47"/>
      <c r="D21" s="14"/>
      <c r="E21" s="5"/>
      <c r="F21" s="16"/>
      <c r="G21" s="15"/>
      <c r="H21" s="4"/>
      <c r="I21" s="5"/>
      <c r="J21" s="4"/>
      <c r="K21" s="5"/>
      <c r="L21" s="6"/>
      <c r="M21" s="12"/>
    </row>
    <row r="22" spans="1:13" ht="18" thickTop="1" thickBot="1" x14ac:dyDescent="0.25">
      <c r="A22" s="66"/>
      <c r="B22" s="32" t="s">
        <v>23</v>
      </c>
      <c r="C22" s="47">
        <v>1.7545294761657715</v>
      </c>
      <c r="D22" s="11">
        <f>(-1)*((((LN(C22))-(0.1623543+(-0.0203706*C2)+(0.0113325*C3)+(-0.0028945*C4)))/(0.258391)))</f>
        <v>-0.1379634593406027</v>
      </c>
      <c r="E22" s="5">
        <f t="shared" si="1"/>
        <v>44.513464827485159</v>
      </c>
      <c r="F22" s="11">
        <f>(-1)*((((LN(C22))-(0.6270649+(0.0483101*C2)))/(0.3128926)))</f>
        <v>0.36170329300700099</v>
      </c>
      <c r="G22" s="5">
        <f>NORMSDIST(F22)*100</f>
        <v>64.121311700688366</v>
      </c>
      <c r="H22" s="11">
        <f>(-1)*((((LN(C22))-(0.0865398+(0.0112433*C3)))/(0.2588522)))</f>
        <v>-0.23047444148621379</v>
      </c>
      <c r="I22" s="5">
        <f>NORMSDIST(H22)*100</f>
        <v>40.886156084249883</v>
      </c>
      <c r="J22" s="11">
        <f>(-1)*((((LN(C22))-(0.7736613+(-0.0040783*C4)))/(0.3132489)))</f>
        <v>0.51882379723447503</v>
      </c>
      <c r="K22" s="5">
        <f t="shared" si="2"/>
        <v>69.80581893127794</v>
      </c>
      <c r="L22" s="6">
        <f>(-1)*((LN(C22))-0.7079529)/(0.313711)</f>
        <v>0.46460654480564051</v>
      </c>
      <c r="M22" s="12">
        <f>NORMSDIST(L22)*100</f>
        <v>67.889337773343911</v>
      </c>
    </row>
    <row r="23" spans="1:13" ht="18" thickTop="1" thickBot="1" x14ac:dyDescent="0.25">
      <c r="A23" s="66"/>
      <c r="B23" s="32" t="s">
        <v>37</v>
      </c>
      <c r="C23" s="47">
        <v>34</v>
      </c>
      <c r="D23" s="11">
        <f>((C23-(44.03473 + (0.5869055*C2) + (-0.3508253*C3) + (0.1693021*C4)))/(7.823917))</f>
        <v>4.1830121664122685E-2</v>
      </c>
      <c r="E23" s="5">
        <f t="shared" si="1"/>
        <v>51.668293879706859</v>
      </c>
      <c r="F23" s="4">
        <f>((C23-(30.91495 + (-1.528799*C2)))/(9.566669))</f>
        <v>0.48228374996563578</v>
      </c>
      <c r="G23" s="5">
        <f>NORMSDIST(F23)*100</f>
        <v>68.519780531253446</v>
      </c>
      <c r="H23" s="4">
        <f>((C23-(47.63693 + (-0.348867*C3)))/(7.860877))</f>
        <v>-9.2718789519286304E-2</v>
      </c>
      <c r="I23" s="5">
        <f>NORMSDIST(H23)*100</f>
        <v>46.3063484717363</v>
      </c>
      <c r="J23" s="4">
        <f xml:space="preserve"> ((C23-(25.0382 + (0.2058757*C4)))/(9.554916))</f>
        <v>0.67936668412364898</v>
      </c>
      <c r="K23" s="5">
        <f t="shared" si="2"/>
        <v>75.154722306498826</v>
      </c>
      <c r="L23" s="6">
        <f>(C23-28.35521)/9.59347</f>
        <v>0.5883991923673082</v>
      </c>
      <c r="M23" s="12">
        <f>NORMSDIST(L23)*100</f>
        <v>72.186781013912565</v>
      </c>
    </row>
    <row r="24" spans="1:13" ht="17" thickTop="1" x14ac:dyDescent="0.2">
      <c r="A24" s="66"/>
      <c r="B24" s="32" t="s">
        <v>34</v>
      </c>
      <c r="C24" s="47">
        <v>19.378414154052734</v>
      </c>
      <c r="D24" s="11">
        <f>(((SQRT(C24)-(5.926289 + (0.0621341*C2) + (-0.0450664*C3) + (0.0164581*C4))))/(0.958646))</f>
        <v>-0.12139150408915496</v>
      </c>
      <c r="E24" s="5">
        <f t="shared" si="1"/>
        <v>45.169047293576917</v>
      </c>
      <c r="F24" s="4">
        <f>(((SQRT(C24)-(4.156875 + (-0.2103411*C2))))/(1.189401))</f>
        <v>0.3830147445402744</v>
      </c>
      <c r="G24" s="5">
        <f>NORMSDIST(F24)*100</f>
        <v>64.914558417965367</v>
      </c>
      <c r="H24" s="4">
        <f>(((SQRT(C24)-(6.283456 + (-0.0448487*C3))))/(0.9615693))</f>
        <v>-0.23083315974111607</v>
      </c>
      <c r="I24" s="5">
        <f>NORMSDIST(H24)*100</f>
        <v>40.872220953329894</v>
      </c>
      <c r="J24" s="4">
        <f xml:space="preserve"> (((SQRT(C24)-(3.464181 + (0.0211343*C4))))/(1.190217))</f>
        <v>0.57493668815934162</v>
      </c>
      <c r="K24" s="5">
        <f t="shared" si="2"/>
        <v>71.733294190030222</v>
      </c>
      <c r="L24" s="6">
        <f>((SQRT(C24)-3.804691))/1.193481</f>
        <v>0.50055344003880009</v>
      </c>
      <c r="M24" s="12">
        <f>NORMSDIST(L24)*100</f>
        <v>69.165728135562006</v>
      </c>
    </row>
    <row r="25" spans="1:13" ht="20" thickBot="1" x14ac:dyDescent="0.3">
      <c r="A25" s="66"/>
      <c r="B25" s="31" t="s">
        <v>28</v>
      </c>
      <c r="C25" s="47"/>
      <c r="D25" s="11"/>
      <c r="E25" s="5"/>
      <c r="F25" s="4"/>
      <c r="G25" s="5"/>
      <c r="H25" s="4"/>
      <c r="I25" s="5"/>
      <c r="J25" s="4"/>
      <c r="K25" s="5"/>
      <c r="L25" s="30"/>
      <c r="M25" s="12"/>
    </row>
    <row r="26" spans="1:13" ht="18" thickTop="1" thickBot="1" x14ac:dyDescent="0.25">
      <c r="A26" s="66"/>
      <c r="B26" s="32" t="s">
        <v>23</v>
      </c>
      <c r="C26" s="47">
        <v>1.2164705991744995</v>
      </c>
      <c r="D26" s="11">
        <f>(((1/SQRT(C26)-(1.128307 + (0.0021201*C2) + (-0.0042707*C3) + (0.0013834*C4))))/(0.1317259))</f>
        <v>-0.62510192520290786</v>
      </c>
      <c r="E26" s="5">
        <f t="shared" si="1"/>
        <v>26.595208224079897</v>
      </c>
      <c r="F26" s="4">
        <f>(((1/SQRT(C26)-(0.9591163 + (-0.0243316*C2))))/(0.1476233))</f>
        <v>-0.19044970332654709</v>
      </c>
      <c r="G26" s="5">
        <f>NORMSDIST(F26)*100</f>
        <v>42.447837634975919</v>
      </c>
      <c r="H26" s="4">
        <f>(((1/SQRT(C26)-(1.153982 + (-0.004268*C3))))/(0.1318576))</f>
        <v>-0.67797467638638931</v>
      </c>
      <c r="I26" s="5">
        <f>NORMSDIST(H26)*100</f>
        <v>24.889387484829196</v>
      </c>
      <c r="J26" s="4">
        <f xml:space="preserve"> (((1/SQRT(C26)-(0.8896771 + (0.0017834*C4))))/(0.1478754))</f>
        <v>-2.9808972209615883E-2</v>
      </c>
      <c r="K26" s="5">
        <f t="shared" si="2"/>
        <v>48.810970157964981</v>
      </c>
      <c r="L26" s="6">
        <f>((1/SQRT(C26)-0.9183926))/0.1480637</f>
        <v>-7.9173448246165942E-2</v>
      </c>
      <c r="M26" s="12">
        <f>NORMSDIST(L26)*100</f>
        <v>46.844733175552662</v>
      </c>
    </row>
    <row r="27" spans="1:13" ht="18" thickTop="1" thickBot="1" x14ac:dyDescent="0.25">
      <c r="A27" s="66"/>
      <c r="B27" s="32" t="s">
        <v>37</v>
      </c>
      <c r="C27" s="47">
        <v>33</v>
      </c>
      <c r="D27" s="11">
        <f>((C27-(42.27818 + (0.2013843*C2) + (-0.2121571*C3) + (0.1039842*C4)))/(6.977169))</f>
        <v>-0.41242544074824583</v>
      </c>
      <c r="E27" s="5">
        <f t="shared" si="1"/>
        <v>34.001380963388009</v>
      </c>
      <c r="F27" s="4">
        <f>((C27-(34.43165 + (-1.10703*C2)))/(7.731395))</f>
        <v>-4.1987248096882375E-2</v>
      </c>
      <c r="G27" s="5">
        <f>NORMSDIST(F27)*100</f>
        <v>48.325443184890879</v>
      </c>
      <c r="H27" s="4">
        <f>((C27-(44.26563 + (-0.2117241*C3)))/(6.991468))</f>
        <v>-0.49086090360422197</v>
      </c>
      <c r="I27" s="5">
        <f>NORMSDIST(H27)*100</f>
        <v>31.17624153472957</v>
      </c>
      <c r="J27" s="4">
        <f xml:space="preserve"> ((C27-(30.58143+(0.1240506*C4)))/(7.731395))</f>
        <v>0.12028395910440463</v>
      </c>
      <c r="K27" s="5">
        <f t="shared" si="2"/>
        <v>54.787089468508476</v>
      </c>
      <c r="L27" s="6">
        <f>(C27-32.57882)/7.748807</f>
        <v>5.4354173487609077E-2</v>
      </c>
      <c r="M27" s="12">
        <f>NORMSDIST(L27)*100</f>
        <v>52.167350544738369</v>
      </c>
    </row>
    <row r="28" spans="1:13" ht="17" thickTop="1" x14ac:dyDescent="0.2">
      <c r="A28" s="66"/>
      <c r="B28" s="32" t="s">
        <v>34</v>
      </c>
      <c r="C28" s="47">
        <v>27.127658843994141</v>
      </c>
      <c r="D28" s="11">
        <f>(((SQRT(C28)-(7.316497 + (0.0149022*C2) + (-0.0417252*C3) + (0.0161564*C4))))/(1.280798))</f>
        <v>-0.6035469176741215</v>
      </c>
      <c r="E28" s="5">
        <f t="shared" si="1"/>
        <v>27.307245675132986</v>
      </c>
      <c r="F28" s="4">
        <f>(((SQRT(C28)-(5.705312+ (-0.243111*C2))))/(1.437403))</f>
        <v>-0.17655388576702524</v>
      </c>
      <c r="G28" s="5">
        <f>NORMSDIST(F28)*100</f>
        <v>42.992940938096623</v>
      </c>
      <c r="H28" s="4">
        <f>(((SQRT(C28)-(7.602856 + (-0.0417484*C3))))/(1.282608))</f>
        <v>-0.66251207310665416</v>
      </c>
      <c r="I28" s="5">
        <f>NORMSDIST(H28)*100</f>
        <v>25.382155000538788</v>
      </c>
      <c r="J28" s="4">
        <f xml:space="preserve"> (((SQRT(C28)-(4.975531+(0.0200534*C4))))/(1.439473))</f>
        <v>-5.3838349612523135E-3</v>
      </c>
      <c r="K28" s="5">
        <f t="shared" si="2"/>
        <v>49.785217097930513</v>
      </c>
      <c r="L28" s="6">
        <f>((SQRT(C28)-5.298418))/1.441918</f>
        <v>-6.2414149114706184E-2</v>
      </c>
      <c r="M28" s="12">
        <f>NORMSDIST(L28)*100</f>
        <v>47.511651378200632</v>
      </c>
    </row>
    <row r="29" spans="1:13" ht="20" thickBot="1" x14ac:dyDescent="0.3">
      <c r="A29" s="66"/>
      <c r="B29" s="31" t="s">
        <v>29</v>
      </c>
      <c r="C29" s="47"/>
      <c r="D29" s="11"/>
      <c r="E29" s="5"/>
      <c r="F29" s="4"/>
      <c r="G29" s="5"/>
      <c r="H29" s="4"/>
      <c r="I29" s="5"/>
      <c r="J29" s="4"/>
      <c r="K29" s="5"/>
      <c r="L29" s="30"/>
      <c r="M29" s="12"/>
    </row>
    <row r="30" spans="1:13" ht="18" thickTop="1" thickBot="1" x14ac:dyDescent="0.25">
      <c r="A30" s="66"/>
      <c r="B30" s="32" t="s">
        <v>23</v>
      </c>
      <c r="C30" s="47">
        <v>2.7867500782012939</v>
      </c>
      <c r="D30" s="11">
        <f>(-1)*(((LN(C30)-(0.1013562 + (0.0700135*C2) + (0.0069514*C3) + (0.0002206*C4))))/(0.3846943))</f>
        <v>-1.543192530665054</v>
      </c>
      <c r="E30" s="5">
        <f t="shared" si="1"/>
        <v>6.1392034529431925</v>
      </c>
      <c r="F30" s="4">
        <f>(-1)*(((LN(C30)-(0.4169347 + (0.1129264*C2))))/(0.3995383))</f>
        <v>-1.2389675041151789</v>
      </c>
      <c r="G30" s="5">
        <f>NORMSDIST(F30)*100</f>
        <v>10.767876630857756</v>
      </c>
      <c r="H30" s="4">
        <f>(-1)*(((LN(C30)-(0.2010713 + (0.0073313*C3))))/(0.3860504))</f>
        <v>-1.4312811755911183</v>
      </c>
      <c r="I30" s="5">
        <f>NORMSDIST(H30)*100</f>
        <v>7.6174823374997587</v>
      </c>
      <c r="J30" s="4">
        <f xml:space="preserve"> (-1)*(((LN(C30)-(0.6107645 + (-0.0003043*C4))))/(0.4030348))</f>
        <v>-1.0365436690564225</v>
      </c>
      <c r="K30" s="5">
        <f t="shared" si="2"/>
        <v>14.997428882168176</v>
      </c>
      <c r="L30" s="6">
        <f>(-1)*((LN(C30)-0.6058605))/0.4030368</f>
        <v>-1.0396459339430582</v>
      </c>
      <c r="M30" s="12">
        <f>NORMSDIST(L30)*100</f>
        <v>14.925221395875649</v>
      </c>
    </row>
    <row r="31" spans="1:13" ht="18" thickTop="1" thickBot="1" x14ac:dyDescent="0.25">
      <c r="A31" s="66"/>
      <c r="B31" s="32" t="s">
        <v>37</v>
      </c>
      <c r="C31" s="47">
        <v>14</v>
      </c>
      <c r="D31" s="11">
        <f>((C31-(28.54612 + (-0.7867997*C2) + (-0.1222351*C3) + (0.053046*C4)))/(6.351615))</f>
        <v>-1.5544351475963203</v>
      </c>
      <c r="E31" s="5">
        <f t="shared" si="1"/>
        <v>6.004032741887821</v>
      </c>
      <c r="F31" s="4">
        <f>((C31-(23.89962 + (-1.532649*C2)))/(6.634531))</f>
        <v>-1.2611247125079377</v>
      </c>
      <c r="G31" s="5">
        <f>NORMSDIST(F31)*100</f>
        <v>10.363195913711873</v>
      </c>
      <c r="H31" s="4">
        <f>((C31-(28.34059 + (-0.1268716*C3)))/(6.365535))</f>
        <v>-1.5154014234467326</v>
      </c>
      <c r="I31" s="5">
        <f>NORMSDIST(H31)*100</f>
        <v>6.4835388575614399</v>
      </c>
      <c r="J31" s="4">
        <f xml:space="preserve"> ((C31-(20.31805+(0.0631406*C4)))/(6.668202))</f>
        <v>-1.0611162049380025</v>
      </c>
      <c r="K31" s="5">
        <f t="shared" si="2"/>
        <v>14.431854713633236</v>
      </c>
      <c r="L31" s="6">
        <f>(C31-21.3355)/6.673395</f>
        <v>-1.0992156166389071</v>
      </c>
      <c r="M31" s="12">
        <f>NORMSDIST(L31)*100</f>
        <v>13.583701429222092</v>
      </c>
    </row>
    <row r="32" spans="1:13" ht="17" thickTop="1" x14ac:dyDescent="0.2">
      <c r="A32" s="66"/>
      <c r="B32" s="32" t="s">
        <v>34</v>
      </c>
      <c r="C32" s="47">
        <v>5.023773193359375</v>
      </c>
      <c r="D32" s="11">
        <f>(((LN(C32)-(3.238084+ (-0.1057593*C2) + (-0.0129536*C3) + (0.0033846*C4))))/(0.6953329))</f>
        <v>-1.5524584216956148</v>
      </c>
      <c r="E32" s="5">
        <f t="shared" si="1"/>
        <v>6.027628697312295</v>
      </c>
      <c r="F32" s="4">
        <f>(((LN(C32)-(2.71021 + (-0.1851425*C2))))/(0.7240786))</f>
        <v>-1.257993561040244</v>
      </c>
      <c r="G32" s="5">
        <f>NORMSDIST(F32)*100</f>
        <v>10.419704245966013</v>
      </c>
      <c r="H32" s="4">
        <f>(((LN(C32)-(3.148729 + (-0.013552*C3))))/(0.6971629))</f>
        <v>-1.4818971527128511</v>
      </c>
      <c r="I32" s="5">
        <f>NORMSDIST(H32)*100</f>
        <v>6.9183831395109943</v>
      </c>
      <c r="J32" s="4">
        <f xml:space="preserve"> (((LN(C32)-(2.329391+(0.0044108*C4))))/(0.7290398))</f>
        <v>-1.0536315253118345</v>
      </c>
      <c r="K32" s="5">
        <f t="shared" si="2"/>
        <v>14.602582500395703</v>
      </c>
      <c r="L32" s="6">
        <f>((LN(C32)-2.400467))/0.7292717</f>
        <v>-1.0781793897761758</v>
      </c>
      <c r="M32" s="12">
        <f>NORMSDIST(L32)*100</f>
        <v>14.047685388855863</v>
      </c>
    </row>
    <row r="33" spans="1:13" ht="20" thickBot="1" x14ac:dyDescent="0.3">
      <c r="A33" s="66"/>
      <c r="B33" s="31" t="s">
        <v>35</v>
      </c>
      <c r="C33" s="47"/>
      <c r="D33" s="11"/>
      <c r="E33" s="5"/>
      <c r="F33" s="4"/>
      <c r="G33" s="5"/>
      <c r="H33" s="4"/>
      <c r="I33" s="5"/>
      <c r="J33" s="4"/>
      <c r="K33" s="5"/>
      <c r="L33" s="30"/>
      <c r="M33" s="12"/>
    </row>
    <row r="34" spans="1:13" ht="17" thickTop="1" x14ac:dyDescent="0.2">
      <c r="A34" s="66"/>
      <c r="B34" s="32" t="s">
        <v>36</v>
      </c>
      <c r="C34" s="49">
        <v>1755</v>
      </c>
      <c r="D34" s="11">
        <f>((C34-(1695.617+ (-85.49747*C2) + (-8.901785*C3) + (5.158736*C4)))/(412.7709))</f>
        <v>0.99896015683276151</v>
      </c>
      <c r="E34" s="5">
        <f t="shared" si="1"/>
        <v>84.109300364569961</v>
      </c>
      <c r="F34" s="4">
        <f>((C34-(1378.06 + (-139.8948*C2)))/(436.0006))</f>
        <v>1.1853992861477716</v>
      </c>
      <c r="G34" s="5">
        <f>NORMSDIST(F34)*100</f>
        <v>88.207019307490214</v>
      </c>
      <c r="H34" s="4">
        <f>((C34-(1663.392 + (-9.404592*C3)))/(415.1648))</f>
        <v>1.0588034052983297</v>
      </c>
      <c r="I34" s="5">
        <f>NORMSDIST(H34)*100</f>
        <v>85.515533875018335</v>
      </c>
      <c r="J34" s="4">
        <f xml:space="preserve"> ((C34-(1049.327+(5.872795*C4)))/(440.2253))</f>
        <v>1.4428963078678123</v>
      </c>
      <c r="K34" s="5">
        <f t="shared" si="2"/>
        <v>92.547515830277177</v>
      </c>
      <c r="L34" s="6">
        <f>(C34-1143.925)/440.9094</f>
        <v>1.3859423273806366</v>
      </c>
      <c r="M34" s="12">
        <f>NORMSDIST(L34)*100</f>
        <v>91.711774267187934</v>
      </c>
    </row>
    <row r="35" spans="1:13" ht="20" thickBot="1" x14ac:dyDescent="0.3">
      <c r="A35" s="66"/>
      <c r="B35" s="31" t="s">
        <v>33</v>
      </c>
      <c r="C35" s="47"/>
      <c r="D35" s="11"/>
      <c r="E35" s="5"/>
      <c r="F35" s="4"/>
      <c r="G35" s="5"/>
      <c r="H35" s="4"/>
      <c r="I35" s="5"/>
      <c r="J35" s="4"/>
      <c r="K35" s="5"/>
      <c r="L35" s="30"/>
      <c r="M35" s="12"/>
    </row>
    <row r="36" spans="1:13" ht="17" thickTop="1" x14ac:dyDescent="0.2">
      <c r="A36" s="66"/>
      <c r="B36" s="32" t="s">
        <v>48</v>
      </c>
      <c r="C36" s="47">
        <v>2</v>
      </c>
      <c r="D36" s="11">
        <f>((C36-(3.695581+ (-0.0411702*C2) + (-0.0369899*C3) + (0.0219676*C4)))/(1.119744))</f>
        <v>-0.49064402220507564</v>
      </c>
      <c r="E36" s="5">
        <f t="shared" si="1"/>
        <v>31.18391223597931</v>
      </c>
      <c r="F36" s="4">
        <f>((C36-(2.153014 + (-0.2598898*C2)))/(1.262751))</f>
        <v>8.4637272114613138E-2</v>
      </c>
      <c r="G36" s="5">
        <f>NORMSDIST(F36)*100</f>
        <v>53.372511674796485</v>
      </c>
      <c r="H36" s="4">
        <f>((C36-(4.04319 + (-0.0373739*C3)))/(1.123628))</f>
        <v>-0.58769957672824114</v>
      </c>
      <c r="I36" s="5">
        <f>NORMSDIST(H36)*100</f>
        <v>27.836697986409188</v>
      </c>
      <c r="J36" s="4">
        <f xml:space="preserve"> ((C36-(1.560977+(0.0258581*C4)))/(1.264004))</f>
        <v>0.10183970936800833</v>
      </c>
      <c r="K36" s="5">
        <f t="shared" si="2"/>
        <v>54.05580470146112</v>
      </c>
      <c r="L36" s="6">
        <f>(C36-1.977834)/1.268616</f>
        <v>1.7472584296587705E-2</v>
      </c>
      <c r="M36" s="12">
        <f>NORMSDIST(L36)*100</f>
        <v>50.697019796529673</v>
      </c>
    </row>
    <row r="37" spans="1:13" ht="20" thickBot="1" x14ac:dyDescent="0.3">
      <c r="A37" s="66"/>
      <c r="B37" s="31" t="s">
        <v>39</v>
      </c>
      <c r="C37" s="47"/>
      <c r="D37" s="11"/>
      <c r="E37" s="5"/>
      <c r="F37" s="4"/>
      <c r="G37" s="5"/>
      <c r="H37" s="4"/>
      <c r="I37" s="5"/>
      <c r="J37" s="4"/>
      <c r="K37" s="5"/>
      <c r="L37" s="30"/>
      <c r="M37" s="12"/>
    </row>
    <row r="38" spans="1:13" ht="18" thickTop="1" thickBot="1" x14ac:dyDescent="0.25">
      <c r="A38" s="66"/>
      <c r="B38" s="32" t="s">
        <v>40</v>
      </c>
      <c r="C38" s="47">
        <v>0.65</v>
      </c>
      <c r="D38" s="11">
        <f>(-1)*((C38-(141.4635 + (31.56957*C2) + (1.269345*C3) + (-1.20342*C4)))/(252.5348))</f>
        <v>0.81140419063036073</v>
      </c>
      <c r="E38" s="5">
        <f t="shared" si="1"/>
        <v>79.143320331439782</v>
      </c>
      <c r="F38" s="4">
        <f>(-1)*((C38-(179.514 + (39.06797*C2)))/(253.3656))</f>
        <v>0.86014822059506113</v>
      </c>
      <c r="G38" s="5">
        <f>NORMSDIST(F38)*100</f>
        <v>80.514632844503993</v>
      </c>
      <c r="H38" s="4">
        <f>(-1)*((C38-(165.2028 + (1.444128*C3)))/(252.999))</f>
        <v>0.86160631464946502</v>
      </c>
      <c r="I38" s="5">
        <f>NORMSDIST(H38)*100</f>
        <v>80.554790252669719</v>
      </c>
      <c r="J38" s="4">
        <f xml:space="preserve"> (-1)*((C38-(264.6822+ (-1.2331*C4)))/(253.9778))</f>
        <v>0.98132592691172227</v>
      </c>
      <c r="K38" s="5">
        <f t="shared" si="2"/>
        <v>83.678397939761595</v>
      </c>
      <c r="L38" s="6">
        <f>(-1)*(C38-244.8128)/254.0296</f>
        <v>0.9611588570780728</v>
      </c>
      <c r="M38" s="12">
        <f>NORMSDIST(L38)*100</f>
        <v>83.176385013998555</v>
      </c>
    </row>
    <row r="39" spans="1:13" ht="17" thickTop="1" x14ac:dyDescent="0.2">
      <c r="A39" s="66"/>
      <c r="B39" s="32" t="s">
        <v>23</v>
      </c>
      <c r="C39" s="47">
        <v>1.1824250221252441</v>
      </c>
      <c r="D39" s="11">
        <f>(((1/SQRT(C39)-(1.11634 + (-0.0156071*C2) + (-0.0039051*C3) + (0.0013848*C4))))/(0.0757666))</f>
        <v>-0.70257428275072842</v>
      </c>
      <c r="E39" s="5">
        <f t="shared" si="1"/>
        <v>24.116054701026378</v>
      </c>
      <c r="F39" s="4">
        <f>(((1/SQRT(C39)-(0.9625622 + (-0.0390514*C2))))/(0.0974026))</f>
        <v>-3.9841489359229702E-2</v>
      </c>
      <c r="G39" s="5">
        <f>NORMSDIST(F39)*100</f>
        <v>48.410974937466811</v>
      </c>
      <c r="H39" s="4">
        <f>(((1/SQRT(C39)-(1.117557 + (-0.0039956*C3))))/(0.0763145))</f>
        <v>-0.6563584201096927</v>
      </c>
      <c r="I39" s="5">
        <f>NORMSDIST(H39)*100</f>
        <v>25.579676853787991</v>
      </c>
      <c r="J39" s="4">
        <f xml:space="preserve"> (((1/SQRT(C39)-(0.8707885+ (0.0016448*C4))))/(0.0988793))</f>
        <v>0.29433901077919017</v>
      </c>
      <c r="K39" s="5">
        <f t="shared" si="2"/>
        <v>61.57505670459151</v>
      </c>
      <c r="L39" s="6">
        <f>((1/SQRT(C39)-0.8972911))/0.0991155</f>
        <v>0.22538387384958722</v>
      </c>
      <c r="M39" s="12">
        <f>NORMSDIST(L39)*100</f>
        <v>58.915967213070928</v>
      </c>
    </row>
    <row r="40" spans="1:13" ht="20" thickBot="1" x14ac:dyDescent="0.3">
      <c r="A40" s="66"/>
      <c r="B40" s="31" t="s">
        <v>41</v>
      </c>
      <c r="C40" s="47"/>
      <c r="D40" s="11"/>
      <c r="E40" s="5"/>
      <c r="F40" s="4"/>
      <c r="G40" s="5"/>
      <c r="H40" s="4"/>
      <c r="I40" s="5"/>
      <c r="J40" s="4"/>
      <c r="K40" s="5"/>
      <c r="L40" s="30"/>
      <c r="M40" s="12"/>
    </row>
    <row r="41" spans="1:13" ht="18" thickTop="1" thickBot="1" x14ac:dyDescent="0.25">
      <c r="A41" s="66"/>
      <c r="B41" s="32" t="s">
        <v>50</v>
      </c>
      <c r="C41" s="47">
        <v>12</v>
      </c>
      <c r="D41" s="11">
        <f>(-1)*((C41-(-3776.147+ (447.5163*C2) + (126.26*C3) + (-229.4159*C4)))/(24982.16))</f>
        <v>-5.6920678596246277E-2</v>
      </c>
      <c r="E41" s="5">
        <f>NORMSDIST(D41)*100</f>
        <v>47.730419093945088</v>
      </c>
      <c r="F41" s="4">
        <f>(-1)*((C41-(-1766.124 + (1173.438*C2)))/(25079.87))</f>
        <v>-2.411041205556488E-2</v>
      </c>
      <c r="G41" s="5">
        <f>NORMSDIST(F41)*100</f>
        <v>49.038226905918052</v>
      </c>
      <c r="H41" s="4">
        <f>(-1)*((C41-(-6924.936 + (129.7557*C3)))/(25000.71))</f>
        <v>-8.543657760119612E-2</v>
      </c>
      <c r="I41" s="5">
        <f>NORMSDIST(H41)*100</f>
        <v>46.595715736839374</v>
      </c>
      <c r="J41" s="4">
        <f>(-1)*((C41-(4037.991+(-238.4849*C4)))/(25066.79))</f>
        <v>4.6442811385103554E-2</v>
      </c>
      <c r="K41" s="5">
        <f t="shared" si="2"/>
        <v>51.852134262181707</v>
      </c>
      <c r="L41" s="6">
        <f>(-1)*(C41-188.8905)/25085.98</f>
        <v>7.0513689319691717E-3</v>
      </c>
      <c r="M41" s="12">
        <f>NORMSDIST(L41)*100</f>
        <v>50.28130658898673</v>
      </c>
    </row>
    <row r="42" spans="1:13" ht="18" thickTop="1" thickBot="1" x14ac:dyDescent="0.25">
      <c r="A42" s="66"/>
      <c r="B42" s="32" t="s">
        <v>51</v>
      </c>
      <c r="C42" s="47">
        <v>10</v>
      </c>
      <c r="D42" s="11">
        <f>(-1)*((C42-(10559.49+ (502.9737*C2) + (249.6838*C3) + (-206.005*C4)))/(49872.65))</f>
        <v>0.35728408857359695</v>
      </c>
      <c r="E42" s="5">
        <f>NORMSDIST(D42)*100</f>
        <v>63.956042977450899</v>
      </c>
      <c r="F42" s="4">
        <f>(-1)*((C42-(18494.07 + (1960.16*C2)))/(50034.58))</f>
        <v>0.40860201084929659</v>
      </c>
      <c r="G42" s="5">
        <f>NORMSDIST(F42)*100</f>
        <v>65.8584122632098</v>
      </c>
      <c r="H42" s="4">
        <f>(-1)*((C42-(7871.453 + (253.3435*C3)))/(49880.28))</f>
        <v>0.34553058844096307</v>
      </c>
      <c r="I42" s="5">
        <f>NORMSDIST(H42)*100</f>
        <v>63.515224079597097</v>
      </c>
      <c r="J42" s="4">
        <f>(-1)*((C42-(25383.68+(-224.464*C4)))/(50034.66))</f>
        <v>0.45328802074402025</v>
      </c>
      <c r="K42" s="5">
        <f t="shared" si="2"/>
        <v>67.482932116288239</v>
      </c>
      <c r="L42" s="6">
        <f>(-1)*(C42-21760.21)/50043.12</f>
        <v>0.4346293756264597</v>
      </c>
      <c r="M42" s="12">
        <f>NORMSDIST(L42)*100</f>
        <v>66.808426550770605</v>
      </c>
    </row>
    <row r="43" spans="1:13" ht="18" thickTop="1" thickBot="1" x14ac:dyDescent="0.25">
      <c r="A43" s="66"/>
      <c r="B43" s="32" t="s">
        <v>52</v>
      </c>
      <c r="C43" s="47">
        <v>1.2</v>
      </c>
      <c r="D43" s="11">
        <f>(-1)*(((LN(C43)-(3.85756+ (0.011682*C2) + (0.0027888*C3) + (-0.006568*C4))))/(1.356894))</f>
        <v>2.7351363063039895</v>
      </c>
      <c r="E43" s="5">
        <f>NORMSDIST(D43)*100</f>
        <v>99.688227751981856</v>
      </c>
      <c r="F43" s="4">
        <f>(-1)*(((LN(C43)-(3.877979 + (0.0275699*C2))))/(1.357887))</f>
        <v>2.7419272319464323</v>
      </c>
      <c r="G43" s="5">
        <f>NORMSDIST(F43)*100</f>
        <v>99.69460064336684</v>
      </c>
      <c r="H43" s="4">
        <f>(-1)*(((LN(C43)-(3.76582+(0.002883*C3)))/(1.357172)))</f>
        <v>2.7190138340652812</v>
      </c>
      <c r="I43" s="5">
        <f>NORMSDIST(H43)*100</f>
        <v>99.672615652249945</v>
      </c>
      <c r="J43" s="4">
        <f>(-1)*(((LN(C43)-(4.033115+(-0.006766*C4))))/(1.357664))</f>
        <v>2.7765348740233557</v>
      </c>
      <c r="K43" s="5">
        <f t="shared" si="2"/>
        <v>99.725291296983301</v>
      </c>
      <c r="L43" s="6">
        <f>(-1)*((LN(C43)-3.923912))/1.357949</f>
        <v>2.7553247163229586</v>
      </c>
      <c r="M43" s="12">
        <f>NORMSDIST(L43)*100</f>
        <v>99.706830439237905</v>
      </c>
    </row>
    <row r="44" spans="1:13" ht="18" thickTop="1" thickBot="1" x14ac:dyDescent="0.25">
      <c r="A44" s="67"/>
      <c r="B44" s="32" t="s">
        <v>53</v>
      </c>
      <c r="C44" s="47">
        <v>1.3</v>
      </c>
      <c r="D44" s="11">
        <f>(-1)*(((SQRT(C44)-(11.7438+ (0.1847703*C2) + (-0.0192505*C3) + (-0.0179244*C4))))/(5.061313))</f>
        <v>1.9483153037365721</v>
      </c>
      <c r="E44" s="5">
        <f>NORMSDIST(D44)*100</f>
        <v>97.43113764533598</v>
      </c>
      <c r="F44" s="4">
        <f>(-1)*(((SQRT(C44)-(10.59204 + (0.0689806*C2))))/(5.070736))</f>
        <v>1.8776061650420892</v>
      </c>
      <c r="G44" s="5">
        <f>NORMSDIST(F44)*100</f>
        <v>96.978246912973631</v>
      </c>
      <c r="H44" s="4">
        <f>(-1)*(((SQRT(C44)-(11.70471 + (-0.0181995*C3))))/(5.062554))</f>
        <v>1.9537871743987052</v>
      </c>
      <c r="I44" s="5">
        <f>NORMSDIST(H44)*100</f>
        <v>97.463680415498828</v>
      </c>
      <c r="J44" s="4">
        <f>(-1)*(((SQRT(C44)-(10.96849+(-0.0161999*C4))))/(5.070405))</f>
        <v>1.9000288487607719</v>
      </c>
      <c r="K44" s="5">
        <f t="shared" si="2"/>
        <v>97.128533306706373</v>
      </c>
      <c r="L44" s="6">
        <f>(-1)*((SQRT(C44)-10.70698))/5.07084</f>
        <v>1.8866311251983623</v>
      </c>
      <c r="M44" s="12">
        <f>NORMSDIST(L44)*100</f>
        <v>97.039502133147636</v>
      </c>
    </row>
    <row r="45" spans="1:13" ht="20" thickBot="1" x14ac:dyDescent="0.3">
      <c r="A45" s="62" t="s">
        <v>32</v>
      </c>
      <c r="B45" s="33" t="s">
        <v>25</v>
      </c>
      <c r="C45" s="48"/>
      <c r="D45" s="13"/>
      <c r="E45" s="5"/>
      <c r="F45" s="7"/>
      <c r="G45" s="5"/>
      <c r="H45" s="7"/>
      <c r="I45" s="5"/>
      <c r="J45" s="7"/>
      <c r="K45" s="5"/>
      <c r="L45" s="8"/>
      <c r="M45" s="12"/>
    </row>
    <row r="46" spans="1:13" ht="18" thickTop="1" thickBot="1" x14ac:dyDescent="0.25">
      <c r="A46" s="63"/>
      <c r="B46" s="34" t="s">
        <v>23</v>
      </c>
      <c r="C46" s="48">
        <v>2.9310500621795654</v>
      </c>
      <c r="D46" s="11">
        <f>(((1/SQRT(C46)-(0.5636815 + (0.009422*C2) + (-0.0018104*C3) + (-0.0007223*C4))))/(0.0568486))</f>
        <v>1.5242324556012796</v>
      </c>
      <c r="E46" s="5">
        <f t="shared" si="1"/>
        <v>93.627467341126987</v>
      </c>
      <c r="F46" s="4">
        <f>(((1/SQRT(C46)-(0.4708088 + (-0.0103345*C2))))/(0.0634239))</f>
        <v>1.9492223148607215</v>
      </c>
      <c r="G46" s="5">
        <f>NORMSDIST(F46)*100</f>
        <v>97.436555940651047</v>
      </c>
      <c r="H46" s="4">
        <f>(((1/SQRT(C46)-(0.5530316 + (-0.0017996*C3))))/(0.0569297))</f>
        <v>1.7153644086565534</v>
      </c>
      <c r="I46" s="5">
        <f>NORMSDIST(H46)*100</f>
        <v>95.686078174302196</v>
      </c>
      <c r="J46" s="4">
        <f xml:space="preserve"> (((1/SQRT(C46)-(0.4618332 + (-0.0005182*C4))))/(0.0635713))</f>
        <v>2.0211444657494018</v>
      </c>
      <c r="K46" s="5">
        <f t="shared" si="2"/>
        <v>97.836759374909533</v>
      </c>
      <c r="L46" s="6">
        <f>((1/SQRT(C46)-0.4534876))/0.0636082</f>
        <v>2.0534142009284171</v>
      </c>
      <c r="M46" s="12">
        <f>NORMSDIST(L46)*100</f>
        <v>97.998378840903854</v>
      </c>
    </row>
    <row r="47" spans="1:13" ht="18" thickTop="1" thickBot="1" x14ac:dyDescent="0.25">
      <c r="A47" s="63"/>
      <c r="B47" s="34" t="s">
        <v>38</v>
      </c>
      <c r="C47" s="48">
        <v>14</v>
      </c>
      <c r="D47" s="11">
        <f>((C47-(14.53082 + (0.550423*C2) + (-0.0925375*C3) + (0.0021143*C4)))/(3.102813))</f>
        <v>0.74682969937279464</v>
      </c>
      <c r="E47" s="5">
        <f t="shared" si="1"/>
        <v>77.241681713235934</v>
      </c>
      <c r="F47" s="4">
        <f>((C47-(10.40302 + (-0.0204356*C2)))/(3.418395))</f>
        <v>1.0582204806641717</v>
      </c>
      <c r="G47" s="5">
        <f>NORMSDIST(F47)*100</f>
        <v>85.502253192803508</v>
      </c>
      <c r="H47" s="4">
        <f>((C47-(15.32269+ (-0.0895594*C3)))/(3.113162))</f>
        <v>0.63954519552789102</v>
      </c>
      <c r="I47" s="5">
        <f>NORMSDIST(H47)*100</f>
        <v>73.876583902250857</v>
      </c>
      <c r="J47" s="4">
        <f xml:space="preserve"> ((C47-(10.15229 + (0.0134424*C4)))/(3.417948))</f>
        <v>1.0785422130471263</v>
      </c>
      <c r="K47" s="5">
        <f t="shared" si="2"/>
        <v>85.960407301463292</v>
      </c>
      <c r="L47" s="6">
        <f>(C47-10.36877)/3.418408</f>
        <v>1.0622576357181472</v>
      </c>
      <c r="M47" s="12">
        <f>NORMSDIST(L47)*100</f>
        <v>85.594062947855093</v>
      </c>
    </row>
    <row r="48" spans="1:13" ht="17" thickTop="1" x14ac:dyDescent="0.2">
      <c r="A48" s="63"/>
      <c r="B48" s="34" t="s">
        <v>34</v>
      </c>
      <c r="C48" s="48">
        <v>4.7764453887939453</v>
      </c>
      <c r="D48" s="11">
        <f>(((SQRT(C48)-(2.109567 + (0.0451457*C2) + (-0.0124619*C3) + (-0.0022808*C4))))/(0.3498796))</f>
        <v>1.4840969266557866</v>
      </c>
      <c r="E48" s="5">
        <f t="shared" si="1"/>
        <v>93.110839577499192</v>
      </c>
      <c r="F48" s="4">
        <f>(((SQRT(C48)-(1.512975 + (-0.0320956*C2))))/(0.3996137))</f>
        <v>1.7632744799779285</v>
      </c>
      <c r="G48" s="5">
        <f>NORMSDIST(F48)*100</f>
        <v>96.107289633888939</v>
      </c>
      <c r="H48" s="4">
        <f>(((SQRT(C48)-(2.13393+ (-0.0121984*C3))))/(0.3506128))</f>
        <v>1.4343995400611622</v>
      </c>
      <c r="I48" s="5">
        <f>NORMSDIST(H48)*100</f>
        <v>92.427086058144425</v>
      </c>
      <c r="J48" s="4">
        <f xml:space="preserve"> (((SQRT(C48)-(1.472176 + (-0.0008069*C4))))/(0.3998818))</f>
        <v>1.8080713827424906</v>
      </c>
      <c r="K48" s="5">
        <f t="shared" si="2"/>
        <v>96.470230427982202</v>
      </c>
      <c r="L48" s="6">
        <f>((SQRT(C48)-1.459181))/0.399896</f>
        <v>1.8162898330054715</v>
      </c>
      <c r="M48" s="12">
        <f>NORMSDIST(L48)*100</f>
        <v>96.5337037988551</v>
      </c>
    </row>
    <row r="49" spans="1:13" ht="20" thickBot="1" x14ac:dyDescent="0.3">
      <c r="A49" s="63"/>
      <c r="B49" s="35" t="s">
        <v>30</v>
      </c>
      <c r="C49" s="48"/>
      <c r="D49" s="43"/>
      <c r="E49" s="5"/>
      <c r="F49" s="43"/>
      <c r="G49" s="44"/>
      <c r="H49" s="43"/>
      <c r="I49" s="44"/>
      <c r="J49" s="43"/>
      <c r="K49" s="44"/>
      <c r="L49" s="45"/>
      <c r="M49" s="44"/>
    </row>
    <row r="50" spans="1:13" ht="18" thickTop="1" thickBot="1" x14ac:dyDescent="0.25">
      <c r="A50" s="63"/>
      <c r="B50" s="36" t="s">
        <v>23</v>
      </c>
      <c r="C50" s="48">
        <v>1.8009333610534668</v>
      </c>
      <c r="D50" s="11">
        <f>(((1/SQRT(C50)-(0.9259303 + (0.0149983*C2) + (-0.0034198*C3) + (-0.00022*C4))))/(0.0914304))</f>
        <v>-0.72834832354199441</v>
      </c>
      <c r="E50" s="5">
        <f t="shared" si="1"/>
        <v>23.320019411482988</v>
      </c>
      <c r="F50" s="4">
        <f>(((1/SQRT(C50)-(0.7692536+ (-0.0063098*C2))))/(0.1056791))</f>
        <v>-0.16825444729160141</v>
      </c>
      <c r="G50" s="5">
        <f>NORMSDIST(F50)*100</f>
        <v>43.319155434260658</v>
      </c>
      <c r="H50" s="4">
        <f>(((1/SQRT(C50)-(0.9429274 + (-0.0033361*C3))))/(0.0916925))</f>
        <v>-0.81063204254190757</v>
      </c>
      <c r="I50" s="5">
        <f>NORMSDIST(H50)*100</f>
        <v>20.878850500061787</v>
      </c>
      <c r="J50" s="4">
        <f>(((1/SQRT(C50)-(0.7556308 + (0.0001886*C4))))/(0.1057174))</f>
        <v>-0.1204265197666041</v>
      </c>
      <c r="K50" s="5">
        <f t="shared" si="2"/>
        <v>45.207264226824719</v>
      </c>
      <c r="L50" s="6">
        <f>((1/SQRT(C50)-0.7586688))/0.1057203</f>
        <v>-0.12775198860364526</v>
      </c>
      <c r="M50" s="12">
        <f>NORMSDIST(L50)*100</f>
        <v>44.917262308553497</v>
      </c>
    </row>
    <row r="51" spans="1:13" ht="18" thickTop="1" thickBot="1" x14ac:dyDescent="0.25">
      <c r="A51" s="63"/>
      <c r="B51" s="36" t="s">
        <v>38</v>
      </c>
      <c r="C51" s="48">
        <v>27</v>
      </c>
      <c r="D51" s="11">
        <f>((C51-(29.16107 + (0.7995218*C2) + (-0.0703987*C3) + (0.0202318*C4)))/(2.514375))</f>
        <v>-0.23807964205816562</v>
      </c>
      <c r="E51" s="5">
        <f t="shared" si="1"/>
        <v>40.59096620492631</v>
      </c>
      <c r="F51" s="4">
        <f>((C51-(26.32705 + (0.3653788*C2)))/(2.743447))</f>
        <v>0.11211122358113777</v>
      </c>
      <c r="G51" s="5">
        <f>NORMSDIST(F51)*100</f>
        <v>54.463239079969213</v>
      </c>
      <c r="H51" s="4">
        <f>((C51-(30.59541+ (-0.0661845*C3)))/(2.542791))</f>
        <v>-0.45091535246113507</v>
      </c>
      <c r="I51" s="5">
        <f>NORMSDIST(H51)*100</f>
        <v>32.602527904908776</v>
      </c>
      <c r="J51" s="4">
        <f xml:space="preserve"> ((C51-(26.46051 + (0.0297675*C4)))/(2.745963))</f>
        <v>6.6381083794647716E-2</v>
      </c>
      <c r="K51" s="5">
        <f>NORMSDIST(J51)*100</f>
        <v>52.646278503662479</v>
      </c>
      <c r="L51" s="6">
        <f>(C51-26.93998)/2.74876</f>
        <v>2.1835300280854467E-2</v>
      </c>
      <c r="M51" s="12">
        <f>NORMSDIST(L51)*100</f>
        <v>50.871033232926223</v>
      </c>
    </row>
    <row r="52" spans="1:13" ht="18" thickTop="1" thickBot="1" x14ac:dyDescent="0.25">
      <c r="A52" s="63"/>
      <c r="B52" s="36" t="s">
        <v>34</v>
      </c>
      <c r="C52" s="48">
        <v>14.992225646972656</v>
      </c>
      <c r="D52" s="11">
        <f>((C52-(24.79505 + (0.9318152*C2) + (-0.1814567*C3) + (-0.012076*C4)))/(4.673083))</f>
        <v>-0.82939456736106376</v>
      </c>
      <c r="E52" s="5">
        <f t="shared" si="1"/>
        <v>20.344058729393058</v>
      </c>
      <c r="F52" s="4">
        <f>((C52-(16.47528 + (-0.1988828*C2)))/(5.453896))</f>
        <v>-0.23545948676457076</v>
      </c>
      <c r="G52" s="5">
        <f>NORMSDIST(F52)*100</f>
        <v>40.692605991419718</v>
      </c>
      <c r="H52" s="4">
        <f>((C52-(25.87738+ (-0.1762732*C3)))/(4.692809))</f>
        <v>-0.92973013668942039</v>
      </c>
      <c r="I52" s="5">
        <f>NORMSDIST(H52)*100</f>
        <v>17.625541337330773</v>
      </c>
      <c r="J52" s="4">
        <f xml:space="preserve"> ((C52-(15.9819 + (0.0099177*C4)))/(5.454532))</f>
        <v>-0.20325973942903666</v>
      </c>
      <c r="K52" s="5">
        <f>NORMSDIST(J52)*100</f>
        <v>41.946601095708616</v>
      </c>
      <c r="L52" s="6">
        <f>(C52-16.14165)/5.454689</f>
        <v>-0.21072225254773319</v>
      </c>
      <c r="M52" s="12">
        <f>NORMSDIST(L52)*100</f>
        <v>41.655200472543626</v>
      </c>
    </row>
    <row r="53" spans="1:13" ht="21" thickTop="1" thickBot="1" x14ac:dyDescent="0.3">
      <c r="A53" s="50" t="s">
        <v>43</v>
      </c>
      <c r="B53" s="37" t="s">
        <v>42</v>
      </c>
      <c r="C53" s="48"/>
      <c r="D53" s="11"/>
      <c r="E53" s="5"/>
      <c r="F53" s="4"/>
      <c r="G53" s="5"/>
      <c r="H53" s="4"/>
      <c r="I53" s="5"/>
      <c r="J53" s="4"/>
      <c r="K53" s="5"/>
      <c r="L53" s="6"/>
      <c r="M53" s="12"/>
    </row>
    <row r="54" spans="1:13" ht="18" thickTop="1" thickBot="1" x14ac:dyDescent="0.25">
      <c r="A54" s="51"/>
      <c r="B54" s="38" t="s">
        <v>23</v>
      </c>
      <c r="C54" s="48">
        <v>4.4881200790405273</v>
      </c>
      <c r="D54" s="11">
        <f>(-1)*(((LN(C54)-(0.9172122 + (-0.0159655*C2) + (0.0079138*C3) + (0.0006281*C4))))/(0.2269266))</f>
        <v>-1.321305758963079</v>
      </c>
      <c r="E54" s="5">
        <f t="shared" si="1"/>
        <v>9.3199717263893707</v>
      </c>
      <c r="F54" s="4">
        <f>(-1)*(((LN(C54)-(1.282834 + (0.0328398*C2))))/(0.2581082))</f>
        <v>-0.71969865134819833</v>
      </c>
      <c r="G54" s="5">
        <f t="shared" ref="G54:G64" si="3">NORMSDIST(F54)*100</f>
        <v>23.585527840513496</v>
      </c>
      <c r="H54" s="4">
        <f>(-1)*(((LN(C54)-(0.9056456 + (0.0078221*C3))))/(0.2270588))</f>
        <v>-1.3493008130136819</v>
      </c>
      <c r="I54" s="5">
        <f t="shared" ref="I54:I64" si="4">NORMSDIST(H54)*100</f>
        <v>8.8620182303849138</v>
      </c>
      <c r="J54" s="4">
        <f xml:space="preserve"> (-1)*(((LN(C54)-(1.344311 + (-0.000399*C4))))/(0.2585602))</f>
        <v>-0.62620203512339156</v>
      </c>
      <c r="K54" s="5">
        <f>NORMSDIST(J54)*100</f>
        <v>26.559121626996252</v>
      </c>
      <c r="L54" s="6">
        <f>(-1)*((LN(C54)-1.337876))/0.2585655</f>
        <v>-0.63255895872384793</v>
      </c>
      <c r="M54" s="12">
        <f t="shared" ref="M54:M64" si="5">NORMSDIST(L54)*100</f>
        <v>26.351084765914269</v>
      </c>
    </row>
    <row r="55" spans="1:13" ht="18" thickTop="1" thickBot="1" x14ac:dyDescent="0.25">
      <c r="A55" s="51"/>
      <c r="B55" s="38" t="s">
        <v>38</v>
      </c>
      <c r="C55" s="48">
        <v>22</v>
      </c>
      <c r="D55" s="11">
        <f>((C55-(21.69839 + (0.4277425*C2) + (-0.0200629*C3) + (0.0427634*C4)))/(2.482625))</f>
        <v>4.1502039172246069E-2</v>
      </c>
      <c r="E55" s="5">
        <f t="shared" si="1"/>
        <v>51.655216638399217</v>
      </c>
      <c r="F55" s="4">
        <f>((C55-(21.47885 + (0.3087926*C2)))/(2.509182))</f>
        <v>8.4632123138137588E-2</v>
      </c>
      <c r="G55" s="5">
        <f t="shared" si="3"/>
        <v>53.372306994734032</v>
      </c>
      <c r="H55" s="4">
        <f>((C55-(22.99801+ (-0.0181262*C3)))/(2.496943))</f>
        <v>-0.13109654485504854</v>
      </c>
      <c r="I55" s="5">
        <f t="shared" si="4"/>
        <v>44.78494671905856</v>
      </c>
      <c r="J55" s="4">
        <f xml:space="preserve"> ((C55-(21.25608 + (0.045902*C4)))/(2.50616))</f>
        <v>7.7048552366968032E-2</v>
      </c>
      <c r="K55" s="5">
        <f>NORMSDIST(J55)*100</f>
        <v>53.070753973521235</v>
      </c>
      <c r="L55" s="6">
        <f>(C55-21.99641)/2.513341</f>
        <v>1.4283776057443433E-3</v>
      </c>
      <c r="M55" s="12">
        <f t="shared" si="5"/>
        <v>50.056984002553939</v>
      </c>
    </row>
    <row r="56" spans="1:13" ht="18" thickTop="1" thickBot="1" x14ac:dyDescent="0.25">
      <c r="A56" s="52"/>
      <c r="B56" s="38" t="s">
        <v>34</v>
      </c>
      <c r="C56" s="48">
        <v>4.901829719543457</v>
      </c>
      <c r="D56" s="11">
        <f>((C56-(8.461489 + (0.1114385*C2) + (-0.0491979*C3) + (0.0063955*C4)))/(1.681851))</f>
        <v>-1.1460714893629362</v>
      </c>
      <c r="E56" s="5">
        <f>NORMSDIST(D56)*100</f>
        <v>12.588278662302677</v>
      </c>
      <c r="F56" s="4">
        <f>((C56-(6.352778 + (-0.1908619*C2)))/(1.848223))</f>
        <v>-0.68178265309789077</v>
      </c>
      <c r="G56" s="5">
        <f t="shared" si="3"/>
        <v>24.768819735538223</v>
      </c>
      <c r="H56" s="4">
        <f>((C56-(8.72126+ (-0.0486521*C3)))/(1.682855))</f>
        <v>-1.1999266606193297</v>
      </c>
      <c r="I56" s="5">
        <f t="shared" si="4"/>
        <v>11.508391233339815</v>
      </c>
      <c r="J56" s="4">
        <f xml:space="preserve"> ((C56-(5.826472+ (0.0127978*C4)))/(1.849624))</f>
        <v>-0.58293787302529732</v>
      </c>
      <c r="K56" s="5">
        <f>NORMSDIST(J56)*100</f>
        <v>27.99675619485398</v>
      </c>
      <c r="L56" s="6">
        <f>(C56-6.032879)/1.850381</f>
        <v>-0.61125210454308776</v>
      </c>
      <c r="M56" s="12">
        <f t="shared" si="5"/>
        <v>27.051634682163588</v>
      </c>
    </row>
    <row r="57" spans="1:13" ht="21" customHeight="1" thickTop="1" thickBot="1" x14ac:dyDescent="0.3">
      <c r="A57" s="56" t="s">
        <v>45</v>
      </c>
      <c r="B57" s="39" t="s">
        <v>44</v>
      </c>
      <c r="C57" s="48"/>
      <c r="D57" s="11"/>
      <c r="E57" s="5"/>
      <c r="F57" s="4"/>
      <c r="G57" s="5"/>
      <c r="H57" s="4"/>
      <c r="I57" s="5"/>
      <c r="J57" s="4"/>
      <c r="K57" s="5"/>
      <c r="L57" s="6"/>
      <c r="M57" s="12"/>
    </row>
    <row r="58" spans="1:13" ht="18" thickTop="1" thickBot="1" x14ac:dyDescent="0.25">
      <c r="A58" s="57"/>
      <c r="B58" s="40" t="s">
        <v>23</v>
      </c>
      <c r="C58" s="48">
        <v>4.4043331146240234</v>
      </c>
      <c r="D58" s="11">
        <f>(-1)*(((LN(C58)-(0.9492287+ (0.1037341*C2) + (0.0074788*C3) + (-0.0025284*C4))))/(0.2590424))</f>
        <v>-0.70741799452990362</v>
      </c>
      <c r="E58" s="5">
        <f t="shared" ref="E58:E63" si="6">NORMSDIST(D58)*100</f>
        <v>23.965337881810573</v>
      </c>
      <c r="F58" s="4">
        <f>(-1)*(((LN(C58)-(1.24456 + (0.150683*C2))))/(0.2839329))</f>
        <v>-0.30762851049037548</v>
      </c>
      <c r="G58" s="5">
        <f t="shared" si="3"/>
        <v>37.918251167384568</v>
      </c>
      <c r="H58" s="4">
        <f>(-1)*(((LN(C58)-(1.048357 + (0.0080848*C3))))/(0.2635931))</f>
        <v>-0.51251058964067286</v>
      </c>
      <c r="I58" s="5">
        <f t="shared" si="4"/>
        <v>30.414685543593968</v>
      </c>
      <c r="J58" s="4">
        <f xml:space="preserve"> (-1)*(((LN(C58)-(1.549133 + (-0.0032657*C4))))/(0.2923028))</f>
        <v>9.3587009408692343E-2</v>
      </c>
      <c r="K58" s="5">
        <f>NORMSDIST(J58)*100</f>
        <v>53.728138534515544</v>
      </c>
      <c r="L58" s="6">
        <f>(-1)*((LN(C58)-1.496519))/0.2926161</f>
        <v>4.7605531253362227E-2</v>
      </c>
      <c r="M58" s="12">
        <f t="shared" si="5"/>
        <v>51.898468813650744</v>
      </c>
    </row>
    <row r="59" spans="1:13" ht="21" customHeight="1" thickTop="1" thickBot="1" x14ac:dyDescent="0.25">
      <c r="A59" s="57"/>
      <c r="B59" s="40" t="s">
        <v>38</v>
      </c>
      <c r="C59" s="48">
        <v>8</v>
      </c>
      <c r="D59" s="11">
        <f>((C59-(12.56215 + (-1.524288*C2) + (-0.0273989*C3) + (0.0696665*C4)))/(2.46216))</f>
        <v>-1.1616225996685838</v>
      </c>
      <c r="E59" s="5">
        <f t="shared" si="6"/>
        <v>12.26943989958648</v>
      </c>
      <c r="F59" s="4">
        <f>((C59-(12.4416 + (-1.689267*C2)))/(2.516515))</f>
        <v>-1.0937081638694783</v>
      </c>
      <c r="G59" s="5">
        <f t="shared" si="3"/>
        <v>13.704149630301533</v>
      </c>
      <c r="H59" s="4">
        <f>((C59-(11.64432+ (-0.0365735*C3)))/(2.575207))</f>
        <v>-0.88967624738516193</v>
      </c>
      <c r="I59" s="5">
        <f t="shared" si="4"/>
        <v>18.681987582030786</v>
      </c>
      <c r="J59" s="4">
        <f xml:space="preserve"> ((C59-(8.478546 + (0.0706612*C4)))/(2.62226))</f>
        <v>-0.50585388176611001</v>
      </c>
      <c r="K59" s="5">
        <f>NORMSDIST(J59)*100</f>
        <v>30.647961487114667</v>
      </c>
      <c r="L59" s="6">
        <f>(C59-9.616956)/2.638568</f>
        <v>-0.61281573944654832</v>
      </c>
      <c r="M59" s="12">
        <f t="shared" si="5"/>
        <v>26.999909124472499</v>
      </c>
    </row>
    <row r="60" spans="1:13" ht="20" customHeight="1" thickTop="1" thickBot="1" x14ac:dyDescent="0.25">
      <c r="A60" s="58"/>
      <c r="B60" s="40" t="s">
        <v>34</v>
      </c>
      <c r="C60" s="48">
        <v>1.8163930177688599</v>
      </c>
      <c r="D60" s="11">
        <f>(((SQRT(C60)-(2.120632 + (-0.2003107*C2) + (-0.0075299*C3) + (0.0067357*C4))))/(0.2950351))</f>
        <v>-1.2703815350992382</v>
      </c>
      <c r="E60" s="5">
        <f t="shared" si="6"/>
        <v>10.197437867115928</v>
      </c>
      <c r="F60" s="4">
        <f>(((SQRT(C60)-(1.889972 + (-0.2470935*C2))))/(0.3186749))</f>
        <v>-0.92615465870125713</v>
      </c>
      <c r="G60" s="5">
        <f t="shared" si="3"/>
        <v>17.718280597573738</v>
      </c>
      <c r="H60" s="4">
        <f>(((SQRT(C60)-(1.959926+ (-0.0087155*C3))))/(0.3102515))</f>
        <v>-0.93381093482596378</v>
      </c>
      <c r="I60" s="5">
        <f t="shared" si="4"/>
        <v>17.520071396987412</v>
      </c>
      <c r="J60" s="4">
        <f xml:space="preserve"> (((SQRT(C60)-(1.358629 + (0.0073351*C4))))/(0.3377739))</f>
        <v>-0.29284069386698447</v>
      </c>
      <c r="K60" s="5">
        <f>NORMSDIST(J60)*100</f>
        <v>38.482196091783081</v>
      </c>
      <c r="L60" s="6">
        <f>((SQRT(C60)-1.476804))/0.3391396</f>
        <v>-0.38057408585183605</v>
      </c>
      <c r="M60" s="12">
        <f t="shared" si="5"/>
        <v>35.17596566362019</v>
      </c>
    </row>
    <row r="61" spans="1:13" ht="21" thickTop="1" thickBot="1" x14ac:dyDescent="0.3">
      <c r="A61" s="53" t="s">
        <v>47</v>
      </c>
      <c r="B61" s="41" t="s">
        <v>46</v>
      </c>
      <c r="C61" s="48"/>
      <c r="D61" s="11"/>
      <c r="E61" s="5"/>
      <c r="F61" s="4"/>
      <c r="G61" s="5"/>
      <c r="H61" s="4"/>
      <c r="I61" s="5"/>
      <c r="J61" s="4"/>
      <c r="K61" s="5"/>
      <c r="L61" s="6"/>
      <c r="M61" s="12"/>
    </row>
    <row r="62" spans="1:13" ht="18" thickTop="1" thickBot="1" x14ac:dyDescent="0.25">
      <c r="A62" s="54"/>
      <c r="B62" s="42" t="s">
        <v>23</v>
      </c>
      <c r="C62" s="48">
        <v>4.1507854461669922</v>
      </c>
      <c r="D62" s="11">
        <f>(((1/SQRT(C62)-(0.5736571+ (-0.0293452*C2) + (-0.0001678*C3) + (0.0011521*C4))))/(0.0712161))</f>
        <v>-0.85787136319789736</v>
      </c>
      <c r="E62" s="5">
        <f t="shared" si="6"/>
        <v>19.54817492867145</v>
      </c>
      <c r="F62" s="4">
        <f>(((1/SQRT(C62)-(0.5844139 + (-0.0302212*C2))))/(0.0714316))</f>
        <v>-0.88698073105793285</v>
      </c>
      <c r="G62" s="5">
        <f t="shared" si="3"/>
        <v>18.754463736919178</v>
      </c>
      <c r="H62" s="4">
        <f>(((1/SQRT(C62)-(0.552382 + (-0.0003361*C3))))/(0.0726294))</f>
        <v>-0.6762007229667012</v>
      </c>
      <c r="I62" s="5">
        <f>NORMSDIST(H62)*100</f>
        <v>24.945660680950354</v>
      </c>
      <c r="J62" s="4">
        <f>(((1/SQRT(C62)-(0.5158078+(0.0011177*C4)))/(0.726726)))</f>
        <v>-5.2820392814675363E-2</v>
      </c>
      <c r="K62" s="5">
        <f>NORMSDIST(J62)*100</f>
        <v>47.893750653194189</v>
      </c>
      <c r="L62" s="6">
        <f>((1/SQRT(C62)-0.5338138))/0.0728227</f>
        <v>-0.59019444196161008</v>
      </c>
      <c r="M62" s="12">
        <f t="shared" si="5"/>
        <v>27.75301489803882</v>
      </c>
    </row>
    <row r="63" spans="1:13" ht="18" thickTop="1" thickBot="1" x14ac:dyDescent="0.25">
      <c r="A63" s="54"/>
      <c r="B63" s="42" t="s">
        <v>38</v>
      </c>
      <c r="C63" s="48">
        <v>13</v>
      </c>
      <c r="D63" s="11">
        <f>((C63-(17.45751 + (-1.915509*C2) + (-0.00528*C3) + (0.0729221*C4)))/(4.400587))</f>
        <v>-0.73210828464475308</v>
      </c>
      <c r="E63" s="5">
        <f t="shared" si="6"/>
        <v>23.205123879022331</v>
      </c>
      <c r="F63" s="4">
        <f>((C63-(18.37815 + (-1.937962*C2)))/(4.412068))</f>
        <v>-0.77972234335463619</v>
      </c>
      <c r="G63" s="5">
        <f t="shared" si="3"/>
        <v>21.77771621812855</v>
      </c>
      <c r="H63" s="4">
        <f>((C63-(16.03112+ (-0.0162505*C3)))/(4.497314))</f>
        <v>-0.54028949279503313</v>
      </c>
      <c r="I63" s="5">
        <f t="shared" si="4"/>
        <v>29.449870169208914</v>
      </c>
      <c r="J63" s="4">
        <f xml:space="preserve"> ((C63-(14.00407 + (0.0701017*C4)))/(4.495066))</f>
        <v>-0.41051463982953751</v>
      </c>
      <c r="K63" s="5">
        <f>NORMSDIST(J63)*100</f>
        <v>34.071423324146643</v>
      </c>
      <c r="L63" s="6">
        <f>(C63-15.13337)/4.504614</f>
        <v>-0.47359662781317097</v>
      </c>
      <c r="M63" s="12">
        <f t="shared" si="5"/>
        <v>31.78937903252892</v>
      </c>
    </row>
    <row r="64" spans="1:13" ht="18" thickTop="1" thickBot="1" x14ac:dyDescent="0.25">
      <c r="A64" s="55"/>
      <c r="B64" s="42" t="s">
        <v>34</v>
      </c>
      <c r="C64" s="48">
        <v>3.1319372653961182</v>
      </c>
      <c r="D64" s="11">
        <f>((SQRT(C64)-(2.422367 + (-0.2508556*C2) + (-0.0010826*C3) + (0.0093885*C4)))/(0.5735653))</f>
        <v>-0.8270883538874908</v>
      </c>
      <c r="E64" s="5">
        <f>NORMSDIST(D64)*100</f>
        <v>20.409349234094002</v>
      </c>
      <c r="F64" s="4">
        <f>(((SQRT(C64)-(2.522807 + (-0.2562356*C2))))/(0.5751868))</f>
        <v>-0.86379482252371687</v>
      </c>
      <c r="G64" s="5">
        <f t="shared" si="3"/>
        <v>19.3850306277164</v>
      </c>
      <c r="H64" s="4">
        <f>(((SQRT(C64)-(2.232902+ (-0.0025182*C3))))/(0.586249))</f>
        <v>-0.63113212956266895</v>
      </c>
      <c r="I64" s="5">
        <f t="shared" si="4"/>
        <v>26.397706732613457</v>
      </c>
      <c r="J64" s="4">
        <f xml:space="preserve"> (((SQRT(C64)-(1.947852 + (0.0090589*C4))))/(0.5863711))</f>
        <v>-0.48916254539827225</v>
      </c>
      <c r="K64" s="5">
        <f>NORMSDIST(J64)*100</f>
        <v>31.236331198301322</v>
      </c>
      <c r="L64" s="6">
        <f>((SQRT(C64)-2.093785))/0.5875934</f>
        <v>-0.55149867208172343</v>
      </c>
      <c r="M64" s="12">
        <f t="shared" si="5"/>
        <v>29.064593836228848</v>
      </c>
    </row>
    <row r="66" spans="3:11" ht="17" thickBot="1" x14ac:dyDescent="0.25"/>
    <row r="67" spans="3:11" ht="20" thickBot="1" x14ac:dyDescent="0.3">
      <c r="C67" s="84" t="s">
        <v>54</v>
      </c>
      <c r="D67" s="68" t="s">
        <v>55</v>
      </c>
      <c r="E67" s="69" t="s">
        <v>56</v>
      </c>
      <c r="F67" s="70" t="s">
        <v>57</v>
      </c>
      <c r="G67" s="71" t="s">
        <v>58</v>
      </c>
      <c r="H67" s="72" t="s">
        <v>59</v>
      </c>
      <c r="I67" s="73" t="s">
        <v>60</v>
      </c>
      <c r="J67" s="74" t="s">
        <v>61</v>
      </c>
      <c r="K67" s="75" t="s">
        <v>62</v>
      </c>
    </row>
    <row r="68" spans="3:11" ht="20" thickBot="1" x14ac:dyDescent="0.3">
      <c r="C68" s="84" t="s">
        <v>11</v>
      </c>
      <c r="D68" s="76" t="s">
        <v>12</v>
      </c>
      <c r="E68" s="77" t="s">
        <v>13</v>
      </c>
      <c r="F68" s="78" t="s">
        <v>14</v>
      </c>
      <c r="G68" s="79" t="s">
        <v>15</v>
      </c>
      <c r="H68" s="80" t="s">
        <v>16</v>
      </c>
      <c r="I68" s="81" t="s">
        <v>17</v>
      </c>
      <c r="J68" s="82" t="s">
        <v>18</v>
      </c>
      <c r="K68" s="83" t="s">
        <v>19</v>
      </c>
    </row>
  </sheetData>
  <mergeCells count="10">
    <mergeCell ref="A53:A56"/>
    <mergeCell ref="A61:A64"/>
    <mergeCell ref="A57:A60"/>
    <mergeCell ref="J3:K3"/>
    <mergeCell ref="L3:M3"/>
    <mergeCell ref="A45:A52"/>
    <mergeCell ref="D3:E3"/>
    <mergeCell ref="F3:G3"/>
    <mergeCell ref="H3:I3"/>
    <mergeCell ref="A5:A44"/>
  </mergeCells>
  <phoneticPr fontId="12" type="noConversion"/>
  <conditionalFormatting sqref="E6 M34 K34 I34 G34 E34 E38:E39 G38:G39 I38:I39 K38:K39 M38:M39 E36 G36 I36 K36 M36 G6 I6 K6 M6 E8 G8 I8 K8 M8 E10:E12 G10:G12 I10:I12 K10:K12 M10:M12 E14:E16 G14:G16 I14:I16 K14:K16 M14:M16 E18:E20 G18:G20 I18:I20 K18:K20 M18:M20 E22:E24 G22:G24 I22:I24 K22:K24 M22:M24 E26:E28 G26:G28 I26:I28 K26:K28 M26:M28 E32 G32 I32 K32 M31:M32 G46:G48 I46:I48 K46:K48 M46:M48 E46:E48 E50:E52 G50:G52 I50:I52 K50:K52 M50:M52 M54:M56 K54:K56 I54:I56 G54:G56 E54:E56 E62:E64 G62:G64 I62:I64 K62:K64 M62:M64">
    <cfRule type="cellIs" dxfId="247" priority="326" operator="between">
      <formula>25</formula>
      <formula>74.99</formula>
    </cfRule>
    <cfRule type="cellIs" dxfId="246" priority="333" operator="lessThan">
      <formula>1</formula>
    </cfRule>
  </conditionalFormatting>
  <conditionalFormatting sqref="E6 M34 K34 I34 G34 E34 E38:E39 G38:G39 I38:I39 K38:K39 M38:M39 E36 G36 I36 K36 M36 G6 I6 K6 M6 E8 G8 I8 K8 M8 E10:E12 G10:G12 I10:I12 K10:K12 M10:M12 E14:E16 G14:G16 I14:I16 K14:K16 M14:M16 E18:E20 G18:G20 I18:I20 K18:K20 M18:M20 E22:E24 G22:G24 I22:I24 K22:K24 M22:M24 E26:E28 G26:G28 I26:I28 K26:K28 M26:M28 E32 G32 I32 K32 M31:M32 G46:G48 I46:I48 K46:K48 M46:M48 E46:E48 E50:E52 G50:G52 I50:I52 K50:K52 M50:M52 M54:M56 K54:K56 I54:I56 G54:G56 E54:E56 E62:E64 G62:G64 I62:I64 K62:K64 M62:M64">
    <cfRule type="cellIs" dxfId="245" priority="332" operator="between">
      <formula>2</formula>
      <formula>8.99</formula>
    </cfRule>
  </conditionalFormatting>
  <conditionalFormatting sqref="E6 M34 K34 I34 G34 E34 E38:E39 G38:G39 I38:I39 K38:K39 M38:M39 E36 G36 I36 K36 M36 G6 I6 K6 M6 E8 G8 I8 K8 M8 E10:E12 G10:G12 I10:I12 K10:K12 M10:M12 E14:E16 G14:G16 I14:I16 K14:K16 M14:M16 E18:E20 G18:G20 I18:I20 K18:K20 M18:M20 E22:E24 G22:G24 I22:I24 K22:K24 M22:M24 E26:E28 G26:G28 I26:I28 K26:K28 M26:M28 E32 G32 I32 K32 M31:M32 G46:G48 I46:I48 K46:K48 M46:M48 E46:E48 E50:E52 G50:G52 I50:I52 K50:K52 M50:M52 M54:M56 K54:K56 I54:I56 G54:G56 E54:E56 E62:E64 G62:G64 I62:I64 K62:K64 M62:M64">
    <cfRule type="cellIs" dxfId="244" priority="327" operator="between">
      <formula>1</formula>
      <formula>1.99</formula>
    </cfRule>
    <cfRule type="cellIs" dxfId="243" priority="328" operator="between">
      <formula>8.99</formula>
      <formula>24.99</formula>
    </cfRule>
    <cfRule type="cellIs" dxfId="242" priority="329" operator="between">
      <formula>75</formula>
      <formula>90.99</formula>
    </cfRule>
    <cfRule type="cellIs" dxfId="241" priority="330" operator="between">
      <formula>91</formula>
      <formula>98</formula>
    </cfRule>
    <cfRule type="cellIs" dxfId="240" priority="331" operator="greaterThan">
      <formula>97.99</formula>
    </cfRule>
  </conditionalFormatting>
  <conditionalFormatting sqref="E6 E34 E38:E39 E36 E8 E10:E12 E14:E16 E18:E20 E22:E24 E26:E28 E32 E46:E48 E50:E52 E54:E56 E62:E64">
    <cfRule type="cellIs" dxfId="239" priority="324" operator="between">
      <formula>2</formula>
      <formula>8.99</formula>
    </cfRule>
  </conditionalFormatting>
  <conditionalFormatting sqref="E6 E34 E38:E39 E36 E8 E10:E12 E14:E16 E18:E20 E22:E24 E26:E28 E32 E46:E48 E50:E52 E54:E56 E62:E64">
    <cfRule type="cellIs" dxfId="238" priority="319" operator="between">
      <formula>1</formula>
      <formula>1.99</formula>
    </cfRule>
    <cfRule type="cellIs" dxfId="237" priority="320" operator="between">
      <formula>9</formula>
      <formula>24.99</formula>
    </cfRule>
    <cfRule type="cellIs" dxfId="236" priority="321" operator="between">
      <formula>75</formula>
      <formula>90.99</formula>
    </cfRule>
    <cfRule type="cellIs" dxfId="235" priority="322" operator="between">
      <formula>91</formula>
      <formula>98</formula>
    </cfRule>
    <cfRule type="cellIs" dxfId="234" priority="323" operator="greaterThan">
      <formula>97.99</formula>
    </cfRule>
  </conditionalFormatting>
  <conditionalFormatting sqref="E6 E34 E38:E39 E36 E8 E10:E12 E14:E16 E18:E20 E22:E24 E26:E28 E32 E46:E48 E50:E52 E54:E56 E62:E64">
    <cfRule type="cellIs" dxfId="233" priority="314" operator="between">
      <formula>1</formula>
      <formula>1.99</formula>
    </cfRule>
    <cfRule type="cellIs" dxfId="232" priority="315" operator="between">
      <formula>9</formula>
      <formula>24.99</formula>
    </cfRule>
    <cfRule type="cellIs" dxfId="231" priority="316" operator="between">
      <formula>75</formula>
      <formula>90.99</formula>
    </cfRule>
    <cfRule type="cellIs" dxfId="230" priority="317" operator="between">
      <formula>91</formula>
      <formula>98</formula>
    </cfRule>
    <cfRule type="cellIs" dxfId="229" priority="318" operator="greaterThan">
      <formula>97.99</formula>
    </cfRule>
  </conditionalFormatting>
  <conditionalFormatting sqref="E6 E34 E38:E39 E36 E8">
    <cfRule type="cellIs" dxfId="228" priority="313" operator="between">
      <formula>2</formula>
      <formula>8.99</formula>
    </cfRule>
  </conditionalFormatting>
  <conditionalFormatting sqref="E30:E31">
    <cfRule type="cellIs" dxfId="227" priority="305" operator="between">
      <formula>25</formula>
      <formula>74.99</formula>
    </cfRule>
    <cfRule type="cellIs" dxfId="226" priority="312" operator="lessThan">
      <formula>1</formula>
    </cfRule>
  </conditionalFormatting>
  <conditionalFormatting sqref="E30:E31">
    <cfRule type="cellIs" dxfId="225" priority="311" operator="between">
      <formula>2</formula>
      <formula>8.99</formula>
    </cfRule>
  </conditionalFormatting>
  <conditionalFormatting sqref="E30:E31">
    <cfRule type="cellIs" dxfId="224" priority="306" operator="between">
      <formula>1</formula>
      <formula>1.99</formula>
    </cfRule>
    <cfRule type="cellIs" dxfId="223" priority="307" operator="between">
      <formula>8.99</formula>
      <formula>24.99</formula>
    </cfRule>
    <cfRule type="cellIs" dxfId="222" priority="308" operator="between">
      <formula>75</formula>
      <formula>90.99</formula>
    </cfRule>
    <cfRule type="cellIs" dxfId="221" priority="309" operator="between">
      <formula>91</formula>
      <formula>98</formula>
    </cfRule>
    <cfRule type="cellIs" dxfId="220" priority="310" operator="greaterThan">
      <formula>97.99</formula>
    </cfRule>
  </conditionalFormatting>
  <conditionalFormatting sqref="E30:E31">
    <cfRule type="cellIs" dxfId="219" priority="304" operator="between">
      <formula>2</formula>
      <formula>8.99</formula>
    </cfRule>
  </conditionalFormatting>
  <conditionalFormatting sqref="E30:E31">
    <cfRule type="cellIs" dxfId="218" priority="299" operator="between">
      <formula>1</formula>
      <formula>1.99</formula>
    </cfRule>
    <cfRule type="cellIs" dxfId="217" priority="300" operator="between">
      <formula>9</formula>
      <formula>24.99</formula>
    </cfRule>
    <cfRule type="cellIs" dxfId="216" priority="301" operator="between">
      <formula>75</formula>
      <formula>90.99</formula>
    </cfRule>
    <cfRule type="cellIs" dxfId="215" priority="302" operator="between">
      <formula>91</formula>
      <formula>98</formula>
    </cfRule>
    <cfRule type="cellIs" dxfId="214" priority="303" operator="greaterThan">
      <formula>97.99</formula>
    </cfRule>
  </conditionalFormatting>
  <conditionalFormatting sqref="E30:E31">
    <cfRule type="cellIs" dxfId="213" priority="294" operator="between">
      <formula>1</formula>
      <formula>1.99</formula>
    </cfRule>
    <cfRule type="cellIs" dxfId="212" priority="295" operator="between">
      <formula>9</formula>
      <formula>24.99</formula>
    </cfRule>
    <cfRule type="cellIs" dxfId="211" priority="296" operator="between">
      <formula>75</formula>
      <formula>90.99</formula>
    </cfRule>
    <cfRule type="cellIs" dxfId="210" priority="297" operator="between">
      <formula>91</formula>
      <formula>98</formula>
    </cfRule>
    <cfRule type="cellIs" dxfId="209" priority="298" operator="greaterThan">
      <formula>97.99</formula>
    </cfRule>
  </conditionalFormatting>
  <conditionalFormatting sqref="E30:E31">
    <cfRule type="cellIs" dxfId="208" priority="293" operator="between">
      <formula>2</formula>
      <formula>8.99</formula>
    </cfRule>
  </conditionalFormatting>
  <conditionalFormatting sqref="G30:G31">
    <cfRule type="cellIs" dxfId="207" priority="285" operator="between">
      <formula>25</formula>
      <formula>74.99</formula>
    </cfRule>
    <cfRule type="cellIs" dxfId="206" priority="292" operator="lessThan">
      <formula>1</formula>
    </cfRule>
  </conditionalFormatting>
  <conditionalFormatting sqref="G30:G31">
    <cfRule type="cellIs" dxfId="205" priority="291" operator="between">
      <formula>2</formula>
      <formula>8.99</formula>
    </cfRule>
  </conditionalFormatting>
  <conditionalFormatting sqref="G30:G31">
    <cfRule type="cellIs" dxfId="204" priority="286" operator="between">
      <formula>1</formula>
      <formula>1.99</formula>
    </cfRule>
    <cfRule type="cellIs" dxfId="203" priority="287" operator="between">
      <formula>8.99</formula>
      <formula>24.99</formula>
    </cfRule>
    <cfRule type="cellIs" dxfId="202" priority="288" operator="between">
      <formula>75</formula>
      <formula>90.99</formula>
    </cfRule>
    <cfRule type="cellIs" dxfId="201" priority="289" operator="between">
      <formula>91</formula>
      <formula>98</formula>
    </cfRule>
    <cfRule type="cellIs" dxfId="200" priority="290" operator="greaterThan">
      <formula>97.99</formula>
    </cfRule>
  </conditionalFormatting>
  <conditionalFormatting sqref="I30:I31">
    <cfRule type="cellIs" dxfId="199" priority="277" operator="between">
      <formula>25</formula>
      <formula>74.99</formula>
    </cfRule>
    <cfRule type="cellIs" dxfId="198" priority="284" operator="lessThan">
      <formula>1</formula>
    </cfRule>
  </conditionalFormatting>
  <conditionalFormatting sqref="I30:I31">
    <cfRule type="cellIs" dxfId="197" priority="283" operator="between">
      <formula>2</formula>
      <formula>8.99</formula>
    </cfRule>
  </conditionalFormatting>
  <conditionalFormatting sqref="I30:I31">
    <cfRule type="cellIs" dxfId="196" priority="278" operator="between">
      <formula>1</formula>
      <formula>1.99</formula>
    </cfRule>
    <cfRule type="cellIs" dxfId="195" priority="279" operator="between">
      <formula>8.99</formula>
      <formula>24.99</formula>
    </cfRule>
    <cfRule type="cellIs" dxfId="194" priority="280" operator="between">
      <formula>75</formula>
      <formula>90.99</formula>
    </cfRule>
    <cfRule type="cellIs" dxfId="193" priority="281" operator="between">
      <formula>91</formula>
      <formula>98</formula>
    </cfRule>
    <cfRule type="cellIs" dxfId="192" priority="282" operator="greaterThan">
      <formula>97.99</formula>
    </cfRule>
  </conditionalFormatting>
  <conditionalFormatting sqref="K30:K31">
    <cfRule type="cellIs" dxfId="191" priority="269" operator="between">
      <formula>25</formula>
      <formula>74.99</formula>
    </cfRule>
    <cfRule type="cellIs" dxfId="190" priority="276" operator="lessThan">
      <formula>1</formula>
    </cfRule>
  </conditionalFormatting>
  <conditionalFormatting sqref="K30:K31">
    <cfRule type="cellIs" dxfId="189" priority="275" operator="between">
      <formula>2</formula>
      <formula>8.99</formula>
    </cfRule>
  </conditionalFormatting>
  <conditionalFormatting sqref="K30:K31">
    <cfRule type="cellIs" dxfId="188" priority="270" operator="between">
      <formula>1</formula>
      <formula>1.99</formula>
    </cfRule>
    <cfRule type="cellIs" dxfId="187" priority="271" operator="between">
      <formula>8.99</formula>
      <formula>24.99</formula>
    </cfRule>
    <cfRule type="cellIs" dxfId="186" priority="272" operator="between">
      <formula>75</formula>
      <formula>90.99</formula>
    </cfRule>
    <cfRule type="cellIs" dxfId="185" priority="273" operator="between">
      <formula>91</formula>
      <formula>98</formula>
    </cfRule>
    <cfRule type="cellIs" dxfId="184" priority="274" operator="greaterThan">
      <formula>97.99</formula>
    </cfRule>
  </conditionalFormatting>
  <conditionalFormatting sqref="M30">
    <cfRule type="cellIs" dxfId="183" priority="261" operator="between">
      <formula>25</formula>
      <formula>74.99</formula>
    </cfRule>
    <cfRule type="cellIs" dxfId="182" priority="268" operator="lessThan">
      <formula>1</formula>
    </cfRule>
  </conditionalFormatting>
  <conditionalFormatting sqref="M30">
    <cfRule type="cellIs" dxfId="181" priority="267" operator="between">
      <formula>2</formula>
      <formula>8.99</formula>
    </cfRule>
  </conditionalFormatting>
  <conditionalFormatting sqref="M30">
    <cfRule type="cellIs" dxfId="180" priority="262" operator="between">
      <formula>1</formula>
      <formula>1.99</formula>
    </cfRule>
    <cfRule type="cellIs" dxfId="179" priority="263" operator="between">
      <formula>8.99</formula>
      <formula>24.99</formula>
    </cfRule>
    <cfRule type="cellIs" dxfId="178" priority="264" operator="between">
      <formula>75</formula>
      <formula>90.99</formula>
    </cfRule>
    <cfRule type="cellIs" dxfId="177" priority="265" operator="between">
      <formula>91</formula>
      <formula>98</formula>
    </cfRule>
    <cfRule type="cellIs" dxfId="176" priority="266" operator="greaterThan">
      <formula>97.99</formula>
    </cfRule>
  </conditionalFormatting>
  <conditionalFormatting sqref="G58:G60 I58:I60 K58:K60 M58:M60">
    <cfRule type="cellIs" dxfId="175" priority="221" operator="between">
      <formula>25</formula>
      <formula>74.99</formula>
    </cfRule>
    <cfRule type="cellIs" dxfId="174" priority="228" operator="lessThan">
      <formula>1</formula>
    </cfRule>
  </conditionalFormatting>
  <conditionalFormatting sqref="G58:G60 I58:I60 K58:K60 M58:M60">
    <cfRule type="cellIs" dxfId="173" priority="227" operator="between">
      <formula>2</formula>
      <formula>8.99</formula>
    </cfRule>
  </conditionalFormatting>
  <conditionalFormatting sqref="G58:G60 I58:I60 K58:K60 M58:M60">
    <cfRule type="cellIs" dxfId="172" priority="222" operator="between">
      <formula>1</formula>
      <formula>1.99</formula>
    </cfRule>
    <cfRule type="cellIs" dxfId="171" priority="223" operator="between">
      <formula>8.99</formula>
      <formula>24.99</formula>
    </cfRule>
    <cfRule type="cellIs" dxfId="170" priority="224" operator="between">
      <formula>75</formula>
      <formula>90.99</formula>
    </cfRule>
    <cfRule type="cellIs" dxfId="169" priority="225" operator="between">
      <formula>91</formula>
      <formula>98</formula>
    </cfRule>
    <cfRule type="cellIs" dxfId="168" priority="226" operator="greaterThan">
      <formula>97.99</formula>
    </cfRule>
  </conditionalFormatting>
  <conditionalFormatting sqref="E58:E60">
    <cfRule type="cellIs" dxfId="167" priority="213" operator="between">
      <formula>25</formula>
      <formula>74.99</formula>
    </cfRule>
    <cfRule type="cellIs" dxfId="166" priority="220" operator="lessThan">
      <formula>1</formula>
    </cfRule>
  </conditionalFormatting>
  <conditionalFormatting sqref="E58:E60">
    <cfRule type="cellIs" dxfId="165" priority="219" operator="between">
      <formula>2</formula>
      <formula>8.99</formula>
    </cfRule>
  </conditionalFormatting>
  <conditionalFormatting sqref="E58:E60">
    <cfRule type="cellIs" dxfId="164" priority="214" operator="between">
      <formula>1</formula>
      <formula>1.99</formula>
    </cfRule>
    <cfRule type="cellIs" dxfId="163" priority="215" operator="between">
      <formula>8.99</formula>
      <formula>24.99</formula>
    </cfRule>
    <cfRule type="cellIs" dxfId="162" priority="216" operator="between">
      <formula>75</formula>
      <formula>90.99</formula>
    </cfRule>
    <cfRule type="cellIs" dxfId="161" priority="217" operator="between">
      <formula>91</formula>
      <formula>98</formula>
    </cfRule>
    <cfRule type="cellIs" dxfId="160" priority="218" operator="greaterThan">
      <formula>97.99</formula>
    </cfRule>
  </conditionalFormatting>
  <conditionalFormatting sqref="E58:E60">
    <cfRule type="cellIs" dxfId="159" priority="212" operator="between">
      <formula>2</formula>
      <formula>8.99</formula>
    </cfRule>
  </conditionalFormatting>
  <conditionalFormatting sqref="E58:E60">
    <cfRule type="cellIs" dxfId="158" priority="207" operator="between">
      <formula>1</formula>
      <formula>1.99</formula>
    </cfRule>
    <cfRule type="cellIs" dxfId="157" priority="208" operator="between">
      <formula>9</formula>
      <formula>24.99</formula>
    </cfRule>
    <cfRule type="cellIs" dxfId="156" priority="209" operator="between">
      <formula>75</formula>
      <formula>90.99</formula>
    </cfRule>
    <cfRule type="cellIs" dxfId="155" priority="210" operator="between">
      <formula>91</formula>
      <formula>98</formula>
    </cfRule>
    <cfRule type="cellIs" dxfId="154" priority="211" operator="greaterThan">
      <formula>97.99</formula>
    </cfRule>
  </conditionalFormatting>
  <conditionalFormatting sqref="E58:E60">
    <cfRule type="cellIs" dxfId="153" priority="202" operator="between">
      <formula>1</formula>
      <formula>1.99</formula>
    </cfRule>
    <cfRule type="cellIs" dxfId="152" priority="203" operator="between">
      <formula>9</formula>
      <formula>24.99</formula>
    </cfRule>
    <cfRule type="cellIs" dxfId="151" priority="204" operator="between">
      <formula>75</formula>
      <formula>90.99</formula>
    </cfRule>
    <cfRule type="cellIs" dxfId="150" priority="205" operator="between">
      <formula>91</formula>
      <formula>98</formula>
    </cfRule>
    <cfRule type="cellIs" dxfId="149" priority="206" operator="greaterThan">
      <formula>97.99</formula>
    </cfRule>
  </conditionalFormatting>
  <conditionalFormatting sqref="E58:E60">
    <cfRule type="cellIs" dxfId="148" priority="201" operator="between">
      <formula>2</formula>
      <formula>8.99</formula>
    </cfRule>
  </conditionalFormatting>
  <conditionalFormatting sqref="E41:E44">
    <cfRule type="cellIs" dxfId="147" priority="141" operator="between">
      <formula>25</formula>
      <formula>74.99</formula>
    </cfRule>
    <cfRule type="cellIs" dxfId="146" priority="148" operator="lessThan">
      <formula>1</formula>
    </cfRule>
  </conditionalFormatting>
  <conditionalFormatting sqref="E41:E44">
    <cfRule type="cellIs" dxfId="145" priority="147" operator="between">
      <formula>2</formula>
      <formula>8.99</formula>
    </cfRule>
  </conditionalFormatting>
  <conditionalFormatting sqref="E41:E44">
    <cfRule type="cellIs" dxfId="144" priority="142" operator="between">
      <formula>1</formula>
      <formula>1.99</formula>
    </cfRule>
    <cfRule type="cellIs" dxfId="143" priority="143" operator="between">
      <formula>8.99</formula>
      <formula>24.99</formula>
    </cfRule>
    <cfRule type="cellIs" dxfId="142" priority="144" operator="between">
      <formula>75</formula>
      <formula>90.99</formula>
    </cfRule>
    <cfRule type="cellIs" dxfId="141" priority="145" operator="between">
      <formula>91</formula>
      <formula>98</formula>
    </cfRule>
    <cfRule type="cellIs" dxfId="140" priority="146" operator="greaterThan">
      <formula>97.99</formula>
    </cfRule>
  </conditionalFormatting>
  <conditionalFormatting sqref="E41:E44">
    <cfRule type="cellIs" dxfId="139" priority="140" operator="between">
      <formula>2</formula>
      <formula>8.99</formula>
    </cfRule>
  </conditionalFormatting>
  <conditionalFormatting sqref="E41:E44">
    <cfRule type="cellIs" dxfId="138" priority="135" operator="between">
      <formula>1</formula>
      <formula>1.99</formula>
    </cfRule>
    <cfRule type="cellIs" dxfId="137" priority="136" operator="between">
      <formula>9</formula>
      <formula>24.99</formula>
    </cfRule>
    <cfRule type="cellIs" dxfId="136" priority="137" operator="between">
      <formula>75</formula>
      <formula>90.99</formula>
    </cfRule>
    <cfRule type="cellIs" dxfId="135" priority="138" operator="between">
      <formula>91</formula>
      <formula>98</formula>
    </cfRule>
    <cfRule type="cellIs" dxfId="134" priority="139" operator="greaterThan">
      <formula>97.99</formula>
    </cfRule>
  </conditionalFormatting>
  <conditionalFormatting sqref="E41:E44">
    <cfRule type="cellIs" dxfId="133" priority="130" operator="between">
      <formula>1</formula>
      <formula>1.99</formula>
    </cfRule>
    <cfRule type="cellIs" dxfId="132" priority="131" operator="between">
      <formula>9</formula>
      <formula>24.99</formula>
    </cfRule>
    <cfRule type="cellIs" dxfId="131" priority="132" operator="between">
      <formula>75</formula>
      <formula>90.99</formula>
    </cfRule>
    <cfRule type="cellIs" dxfId="130" priority="133" operator="between">
      <formula>91</formula>
      <formula>98</formula>
    </cfRule>
    <cfRule type="cellIs" dxfId="129" priority="134" operator="greaterThan">
      <formula>97.99</formula>
    </cfRule>
  </conditionalFormatting>
  <conditionalFormatting sqref="E41:E44">
    <cfRule type="cellIs" dxfId="128" priority="129" operator="between">
      <formula>2</formula>
      <formula>8.99</formula>
    </cfRule>
  </conditionalFormatting>
  <conditionalFormatting sqref="G41:G44">
    <cfRule type="cellIs" dxfId="127" priority="121" operator="between">
      <formula>25</formula>
      <formula>74.99</formula>
    </cfRule>
    <cfRule type="cellIs" dxfId="126" priority="128" operator="lessThan">
      <formula>1</formula>
    </cfRule>
  </conditionalFormatting>
  <conditionalFormatting sqref="G41:G44">
    <cfRule type="cellIs" dxfId="125" priority="127" operator="between">
      <formula>2</formula>
      <formula>8.99</formula>
    </cfRule>
  </conditionalFormatting>
  <conditionalFormatting sqref="G41:G44">
    <cfRule type="cellIs" dxfId="124" priority="122" operator="between">
      <formula>1</formula>
      <formula>1.99</formula>
    </cfRule>
    <cfRule type="cellIs" dxfId="123" priority="123" operator="between">
      <formula>8.99</formula>
      <formula>24.99</formula>
    </cfRule>
    <cfRule type="cellIs" dxfId="122" priority="124" operator="between">
      <formula>75</formula>
      <formula>90.99</formula>
    </cfRule>
    <cfRule type="cellIs" dxfId="121" priority="125" operator="between">
      <formula>91</formula>
      <formula>98</formula>
    </cfRule>
    <cfRule type="cellIs" dxfId="120" priority="126" operator="greaterThan">
      <formula>97.99</formula>
    </cfRule>
  </conditionalFormatting>
  <conditionalFormatting sqref="I41:I44">
    <cfRule type="cellIs" dxfId="119" priority="113" operator="between">
      <formula>25</formula>
      <formula>74.99</formula>
    </cfRule>
    <cfRule type="cellIs" dxfId="118" priority="120" operator="lessThan">
      <formula>1</formula>
    </cfRule>
  </conditionalFormatting>
  <conditionalFormatting sqref="I41:I44">
    <cfRule type="cellIs" dxfId="117" priority="119" operator="between">
      <formula>2</formula>
      <formula>8.99</formula>
    </cfRule>
  </conditionalFormatting>
  <conditionalFormatting sqref="I41:I44">
    <cfRule type="cellIs" dxfId="116" priority="114" operator="between">
      <formula>1</formula>
      <formula>1.99</formula>
    </cfRule>
    <cfRule type="cellIs" dxfId="115" priority="115" operator="between">
      <formula>8.99</formula>
      <formula>24.99</formula>
    </cfRule>
    <cfRule type="cellIs" dxfId="114" priority="116" operator="between">
      <formula>75</formula>
      <formula>90.99</formula>
    </cfRule>
    <cfRule type="cellIs" dxfId="113" priority="117" operator="between">
      <formula>91</formula>
      <formula>98</formula>
    </cfRule>
    <cfRule type="cellIs" dxfId="112" priority="118" operator="greaterThan">
      <formula>97.99</formula>
    </cfRule>
  </conditionalFormatting>
  <conditionalFormatting sqref="K41:K44">
    <cfRule type="cellIs" dxfId="111" priority="105" operator="between">
      <formula>25</formula>
      <formula>74.99</formula>
    </cfRule>
    <cfRule type="cellIs" dxfId="110" priority="112" operator="lessThan">
      <formula>1</formula>
    </cfRule>
  </conditionalFormatting>
  <conditionalFormatting sqref="K41:K44">
    <cfRule type="cellIs" dxfId="109" priority="111" operator="between">
      <formula>2</formula>
      <formula>8.99</formula>
    </cfRule>
  </conditionalFormatting>
  <conditionalFormatting sqref="K41:K44">
    <cfRule type="cellIs" dxfId="108" priority="106" operator="between">
      <formula>1</formula>
      <formula>1.99</formula>
    </cfRule>
    <cfRule type="cellIs" dxfId="107" priority="107" operator="between">
      <formula>8.99</formula>
      <formula>24.99</formula>
    </cfRule>
    <cfRule type="cellIs" dxfId="106" priority="108" operator="between">
      <formula>75</formula>
      <formula>90.99</formula>
    </cfRule>
    <cfRule type="cellIs" dxfId="105" priority="109" operator="between">
      <formula>91</formula>
      <formula>98</formula>
    </cfRule>
    <cfRule type="cellIs" dxfId="104" priority="110" operator="greaterThan">
      <formula>97.99</formula>
    </cfRule>
  </conditionalFormatting>
  <conditionalFormatting sqref="M41:M44">
    <cfRule type="cellIs" dxfId="103" priority="97" operator="between">
      <formula>25</formula>
      <formula>74.99</formula>
    </cfRule>
    <cfRule type="cellIs" dxfId="102" priority="104" operator="lessThan">
      <formula>1</formula>
    </cfRule>
  </conditionalFormatting>
  <conditionalFormatting sqref="M41:M44">
    <cfRule type="cellIs" dxfId="101" priority="103" operator="between">
      <formula>2</formula>
      <formula>8.99</formula>
    </cfRule>
  </conditionalFormatting>
  <conditionalFormatting sqref="M41:M44">
    <cfRule type="cellIs" dxfId="100" priority="98" operator="between">
      <formula>1</formula>
      <formula>1.99</formula>
    </cfRule>
    <cfRule type="cellIs" dxfId="99" priority="99" operator="between">
      <formula>8.99</formula>
      <formula>24.99</formula>
    </cfRule>
    <cfRule type="cellIs" dxfId="98" priority="100" operator="between">
      <formula>75</formula>
      <formula>90.99</formula>
    </cfRule>
    <cfRule type="cellIs" dxfId="97" priority="101" operator="between">
      <formula>91</formula>
      <formula>98</formula>
    </cfRule>
    <cfRule type="cellIs" dxfId="96" priority="102" operator="greaterThan">
      <formula>97.99</formula>
    </cfRule>
  </conditionalFormatting>
  <conditionalFormatting sqref="G6">
    <cfRule type="cellIs" dxfId="95" priority="96" operator="between">
      <formula>2</formula>
      <formula>8.99</formula>
    </cfRule>
  </conditionalFormatting>
  <conditionalFormatting sqref="G6">
    <cfRule type="cellIs" dxfId="94" priority="91" operator="between">
      <formula>1</formula>
      <formula>1.99</formula>
    </cfRule>
    <cfRule type="cellIs" dxfId="93" priority="92" operator="between">
      <formula>9</formula>
      <formula>24.99</formula>
    </cfRule>
    <cfRule type="cellIs" dxfId="92" priority="93" operator="between">
      <formula>75</formula>
      <formula>90.99</formula>
    </cfRule>
    <cfRule type="cellIs" dxfId="91" priority="94" operator="between">
      <formula>91</formula>
      <formula>98</formula>
    </cfRule>
    <cfRule type="cellIs" dxfId="90" priority="95" operator="greaterThan">
      <formula>97.99</formula>
    </cfRule>
  </conditionalFormatting>
  <conditionalFormatting sqref="G6">
    <cfRule type="cellIs" dxfId="89" priority="86" operator="between">
      <formula>1</formula>
      <formula>1.99</formula>
    </cfRule>
    <cfRule type="cellIs" dxfId="88" priority="87" operator="between">
      <formula>9</formula>
      <formula>24.99</formula>
    </cfRule>
    <cfRule type="cellIs" dxfId="87" priority="88" operator="between">
      <formula>75</formula>
      <formula>90.99</formula>
    </cfRule>
    <cfRule type="cellIs" dxfId="86" priority="89" operator="between">
      <formula>91</formula>
      <formula>98</formula>
    </cfRule>
    <cfRule type="cellIs" dxfId="85" priority="90" operator="greaterThan">
      <formula>97.99</formula>
    </cfRule>
  </conditionalFormatting>
  <conditionalFormatting sqref="G6">
    <cfRule type="cellIs" dxfId="84" priority="85" operator="between">
      <formula>2</formula>
      <formula>8.99</formula>
    </cfRule>
  </conditionalFormatting>
  <conditionalFormatting sqref="I6">
    <cfRule type="cellIs" dxfId="83" priority="84" operator="between">
      <formula>2</formula>
      <formula>8.99</formula>
    </cfRule>
  </conditionalFormatting>
  <conditionalFormatting sqref="I6">
    <cfRule type="cellIs" dxfId="82" priority="79" operator="between">
      <formula>1</formula>
      <formula>1.99</formula>
    </cfRule>
    <cfRule type="cellIs" dxfId="81" priority="80" operator="between">
      <formula>9</formula>
      <formula>24.99</formula>
    </cfRule>
    <cfRule type="cellIs" dxfId="80" priority="81" operator="between">
      <formula>75</formula>
      <formula>90.99</formula>
    </cfRule>
    <cfRule type="cellIs" dxfId="79" priority="82" operator="between">
      <formula>91</formula>
      <formula>98</formula>
    </cfRule>
    <cfRule type="cellIs" dxfId="78" priority="83" operator="greaterThan">
      <formula>97.99</formula>
    </cfRule>
  </conditionalFormatting>
  <conditionalFormatting sqref="I6">
    <cfRule type="cellIs" dxfId="77" priority="74" operator="between">
      <formula>1</formula>
      <formula>1.99</formula>
    </cfRule>
    <cfRule type="cellIs" dxfId="76" priority="75" operator="between">
      <formula>9</formula>
      <formula>24.99</formula>
    </cfRule>
    <cfRule type="cellIs" dxfId="75" priority="76" operator="between">
      <formula>75</formula>
      <formula>90.99</formula>
    </cfRule>
    <cfRule type="cellIs" dxfId="74" priority="77" operator="between">
      <formula>91</formula>
      <formula>98</formula>
    </cfRule>
    <cfRule type="cellIs" dxfId="73" priority="78" operator="greaterThan">
      <formula>97.99</formula>
    </cfRule>
  </conditionalFormatting>
  <conditionalFormatting sqref="I6">
    <cfRule type="cellIs" dxfId="72" priority="73" operator="between">
      <formula>2</formula>
      <formula>8.99</formula>
    </cfRule>
  </conditionalFormatting>
  <conditionalFormatting sqref="K6">
    <cfRule type="cellIs" dxfId="71" priority="72" operator="between">
      <formula>2</formula>
      <formula>8.99</formula>
    </cfRule>
  </conditionalFormatting>
  <conditionalFormatting sqref="K6">
    <cfRule type="cellIs" dxfId="70" priority="67" operator="between">
      <formula>1</formula>
      <formula>1.99</formula>
    </cfRule>
    <cfRule type="cellIs" dxfId="69" priority="68" operator="between">
      <formula>9</formula>
      <formula>24.99</formula>
    </cfRule>
    <cfRule type="cellIs" dxfId="68" priority="69" operator="between">
      <formula>75</formula>
      <formula>90.99</formula>
    </cfRule>
    <cfRule type="cellIs" dxfId="67" priority="70" operator="between">
      <formula>91</formula>
      <formula>98</formula>
    </cfRule>
    <cfRule type="cellIs" dxfId="66" priority="71" operator="greaterThan">
      <formula>97.99</formula>
    </cfRule>
  </conditionalFormatting>
  <conditionalFormatting sqref="K6">
    <cfRule type="cellIs" dxfId="65" priority="62" operator="between">
      <formula>1</formula>
      <formula>1.99</formula>
    </cfRule>
    <cfRule type="cellIs" dxfId="64" priority="63" operator="between">
      <formula>9</formula>
      <formula>24.99</formula>
    </cfRule>
    <cfRule type="cellIs" dxfId="63" priority="64" operator="between">
      <formula>75</formula>
      <formula>90.99</formula>
    </cfRule>
    <cfRule type="cellIs" dxfId="62" priority="65" operator="between">
      <formula>91</formula>
      <formula>98</formula>
    </cfRule>
    <cfRule type="cellIs" dxfId="61" priority="66" operator="greaterThan">
      <formula>97.99</formula>
    </cfRule>
  </conditionalFormatting>
  <conditionalFormatting sqref="K6">
    <cfRule type="cellIs" dxfId="60" priority="61" operator="between">
      <formula>2</formula>
      <formula>8.99</formula>
    </cfRule>
  </conditionalFormatting>
  <conditionalFormatting sqref="M6">
    <cfRule type="cellIs" dxfId="59" priority="60" operator="between">
      <formula>2</formula>
      <formula>8.99</formula>
    </cfRule>
  </conditionalFormatting>
  <conditionalFormatting sqref="M6">
    <cfRule type="cellIs" dxfId="58" priority="55" operator="between">
      <formula>1</formula>
      <formula>1.99</formula>
    </cfRule>
    <cfRule type="cellIs" dxfId="57" priority="56" operator="between">
      <formula>9</formula>
      <formula>24.99</formula>
    </cfRule>
    <cfRule type="cellIs" dxfId="56" priority="57" operator="between">
      <formula>75</formula>
      <formula>90.99</formula>
    </cfRule>
    <cfRule type="cellIs" dxfId="55" priority="58" operator="between">
      <formula>91</formula>
      <formula>98</formula>
    </cfRule>
    <cfRule type="cellIs" dxfId="54" priority="59" operator="greaterThan">
      <formula>97.99</formula>
    </cfRule>
  </conditionalFormatting>
  <conditionalFormatting sqref="M6">
    <cfRule type="cellIs" dxfId="53" priority="50" operator="between">
      <formula>1</formula>
      <formula>1.99</formula>
    </cfRule>
    <cfRule type="cellIs" dxfId="52" priority="51" operator="between">
      <formula>9</formula>
      <formula>24.99</formula>
    </cfRule>
    <cfRule type="cellIs" dxfId="51" priority="52" operator="between">
      <formula>75</formula>
      <formula>90.99</formula>
    </cfRule>
    <cfRule type="cellIs" dxfId="50" priority="53" operator="between">
      <formula>91</formula>
      <formula>98</formula>
    </cfRule>
    <cfRule type="cellIs" dxfId="49" priority="54" operator="greaterThan">
      <formula>97.99</formula>
    </cfRule>
  </conditionalFormatting>
  <conditionalFormatting sqref="M6">
    <cfRule type="cellIs" dxfId="48" priority="49" operator="between">
      <formula>2</formula>
      <formula>8.99</formula>
    </cfRule>
  </conditionalFormatting>
  <conditionalFormatting sqref="G8">
    <cfRule type="cellIs" dxfId="47" priority="48" operator="between">
      <formula>2</formula>
      <formula>8.99</formula>
    </cfRule>
  </conditionalFormatting>
  <conditionalFormatting sqref="G8">
    <cfRule type="cellIs" dxfId="46" priority="43" operator="between">
      <formula>1</formula>
      <formula>1.99</formula>
    </cfRule>
    <cfRule type="cellIs" dxfId="45" priority="44" operator="between">
      <formula>9</formula>
      <formula>24.99</formula>
    </cfRule>
    <cfRule type="cellIs" dxfId="44" priority="45" operator="between">
      <formula>75</formula>
      <formula>90.99</formula>
    </cfRule>
    <cfRule type="cellIs" dxfId="43" priority="46" operator="between">
      <formula>91</formula>
      <formula>98</formula>
    </cfRule>
    <cfRule type="cellIs" dxfId="42" priority="47" operator="greaterThan">
      <formula>97.99</formula>
    </cfRule>
  </conditionalFormatting>
  <conditionalFormatting sqref="G8">
    <cfRule type="cellIs" dxfId="41" priority="38" operator="between">
      <formula>1</formula>
      <formula>1.99</formula>
    </cfRule>
    <cfRule type="cellIs" dxfId="40" priority="39" operator="between">
      <formula>9</formula>
      <formula>24.99</formula>
    </cfRule>
    <cfRule type="cellIs" dxfId="39" priority="40" operator="between">
      <formula>75</formula>
      <formula>90.99</formula>
    </cfRule>
    <cfRule type="cellIs" dxfId="38" priority="41" operator="between">
      <formula>91</formula>
      <formula>98</formula>
    </cfRule>
    <cfRule type="cellIs" dxfId="37" priority="42" operator="greaterThan">
      <formula>97.99</formula>
    </cfRule>
  </conditionalFormatting>
  <conditionalFormatting sqref="G8">
    <cfRule type="cellIs" dxfId="36" priority="37" operator="between">
      <formula>2</formula>
      <formula>8.99</formula>
    </cfRule>
  </conditionalFormatting>
  <conditionalFormatting sqref="I8">
    <cfRule type="cellIs" dxfId="35" priority="36" operator="between">
      <formula>2</formula>
      <formula>8.99</formula>
    </cfRule>
  </conditionalFormatting>
  <conditionalFormatting sqref="I8">
    <cfRule type="cellIs" dxfId="34" priority="31" operator="between">
      <formula>1</formula>
      <formula>1.99</formula>
    </cfRule>
    <cfRule type="cellIs" dxfId="33" priority="32" operator="between">
      <formula>9</formula>
      <formula>24.99</formula>
    </cfRule>
    <cfRule type="cellIs" dxfId="32" priority="33" operator="between">
      <formula>75</formula>
      <formula>90.99</formula>
    </cfRule>
    <cfRule type="cellIs" dxfId="31" priority="34" operator="between">
      <formula>91</formula>
      <formula>98</formula>
    </cfRule>
    <cfRule type="cellIs" dxfId="30" priority="35" operator="greaterThan">
      <formula>97.99</formula>
    </cfRule>
  </conditionalFormatting>
  <conditionalFormatting sqref="I8">
    <cfRule type="cellIs" dxfId="29" priority="26" operator="between">
      <formula>1</formula>
      <formula>1.99</formula>
    </cfRule>
    <cfRule type="cellIs" dxfId="28" priority="27" operator="between">
      <formula>9</formula>
      <formula>24.99</formula>
    </cfRule>
    <cfRule type="cellIs" dxfId="27" priority="28" operator="between">
      <formula>75</formula>
      <formula>90.99</formula>
    </cfRule>
    <cfRule type="cellIs" dxfId="26" priority="29" operator="between">
      <formula>91</formula>
      <formula>98</formula>
    </cfRule>
    <cfRule type="cellIs" dxfId="25" priority="30" operator="greaterThan">
      <formula>97.99</formula>
    </cfRule>
  </conditionalFormatting>
  <conditionalFormatting sqref="I8">
    <cfRule type="cellIs" dxfId="24" priority="25" operator="between">
      <formula>2</formula>
      <formula>8.99</formula>
    </cfRule>
  </conditionalFormatting>
  <conditionalFormatting sqref="K8">
    <cfRule type="cellIs" dxfId="23" priority="24" operator="between">
      <formula>2</formula>
      <formula>8.99</formula>
    </cfRule>
  </conditionalFormatting>
  <conditionalFormatting sqref="K8">
    <cfRule type="cellIs" dxfId="22" priority="19" operator="between">
      <formula>1</formula>
      <formula>1.99</formula>
    </cfRule>
    <cfRule type="cellIs" dxfId="21" priority="20" operator="between">
      <formula>9</formula>
      <formula>24.99</formula>
    </cfRule>
    <cfRule type="cellIs" dxfId="20" priority="21" operator="between">
      <formula>75</formula>
      <formula>90.99</formula>
    </cfRule>
    <cfRule type="cellIs" dxfId="19" priority="22" operator="between">
      <formula>91</formula>
      <formula>98</formula>
    </cfRule>
    <cfRule type="cellIs" dxfId="18" priority="23" operator="greaterThan">
      <formula>97.99</formula>
    </cfRule>
  </conditionalFormatting>
  <conditionalFormatting sqref="K8">
    <cfRule type="cellIs" dxfId="17" priority="14" operator="between">
      <formula>1</formula>
      <formula>1.99</formula>
    </cfRule>
    <cfRule type="cellIs" dxfId="16" priority="15" operator="between">
      <formula>9</formula>
      <formula>24.99</formula>
    </cfRule>
    <cfRule type="cellIs" dxfId="15" priority="16" operator="between">
      <formula>75</formula>
      <formula>90.99</formula>
    </cfRule>
    <cfRule type="cellIs" dxfId="14" priority="17" operator="between">
      <formula>91</formula>
      <formula>98</formula>
    </cfRule>
    <cfRule type="cellIs" dxfId="13" priority="18" operator="greaterThan">
      <formula>97.99</formula>
    </cfRule>
  </conditionalFormatting>
  <conditionalFormatting sqref="K8">
    <cfRule type="cellIs" dxfId="12" priority="13" operator="between">
      <formula>2</formula>
      <formula>8.99</formula>
    </cfRule>
  </conditionalFormatting>
  <conditionalFormatting sqref="M8">
    <cfRule type="cellIs" dxfId="11" priority="12" operator="between">
      <formula>2</formula>
      <formula>8.99</formula>
    </cfRule>
  </conditionalFormatting>
  <conditionalFormatting sqref="M8">
    <cfRule type="cellIs" dxfId="10" priority="7" operator="between">
      <formula>1</formula>
      <formula>1.99</formula>
    </cfRule>
    <cfRule type="cellIs" dxfId="9" priority="8" operator="between">
      <formula>9</formula>
      <formula>24.99</formula>
    </cfRule>
    <cfRule type="cellIs" dxfId="8" priority="9" operator="between">
      <formula>75</formula>
      <formula>90.99</formula>
    </cfRule>
    <cfRule type="cellIs" dxfId="7" priority="10" operator="between">
      <formula>91</formula>
      <formula>98</formula>
    </cfRule>
    <cfRule type="cellIs" dxfId="6" priority="11" operator="greaterThan">
      <formula>97.99</formula>
    </cfRule>
  </conditionalFormatting>
  <conditionalFormatting sqref="M8">
    <cfRule type="cellIs" dxfId="5" priority="2" operator="between">
      <formula>1</formula>
      <formula>1.99</formula>
    </cfRule>
    <cfRule type="cellIs" dxfId="4" priority="3" operator="between">
      <formula>9</formula>
      <formula>24.99</formula>
    </cfRule>
    <cfRule type="cellIs" dxfId="3" priority="4" operator="between">
      <formula>75</formula>
      <formula>90.99</formula>
    </cfRule>
    <cfRule type="cellIs" dxfId="2" priority="5" operator="between">
      <formula>91</formula>
      <formula>98</formula>
    </cfRule>
    <cfRule type="cellIs" dxfId="1" priority="6" operator="greaterThan">
      <formula>97.99</formula>
    </cfRule>
  </conditionalFormatting>
  <conditionalFormatting sqref="M8">
    <cfRule type="cellIs" dxfId="0" priority="1" operator="between">
      <formula>2</formula>
      <formula>8.99</formula>
    </cfRule>
  </conditionalFormatting>
  <pageMargins left="0.7" right="0.7" top="0.75" bottom="0.75" header="0.3" footer="0.3"/>
  <ignoredErrors>
    <ignoredError sqref="H10:H11 L10 J10:J11 F14:F15 H14:H15 J14:J15 L14:L15 F18:F19 H18:H19 J18:J19 L18:L19 F22:F23 H22:H23 J22:J23 L22:L23 F46:F47 H46:H47 J46:J47 L46:L47 F26:F27 H26:H27 L26:L27 J26:J28 F30:F31 H30:H31 J30:J31 L30:L31 F34 H34 J34 L34 F50:F51 H50:H51 J50:J51 L50:L51 F54:F55 H54:H55 J54:J55 L54:L55 F58:F60 H58:H60 J58 L58:L60 F62:F63 H62:H63 J62:J63 L62:L63 F38:F39 H38:H39 J38:J39 L38:L39 F36 H36 J36 L36 L41:L42 J41:J42 H41:H42 F41:F42 H6 F6 J6 L6 F12 L12 F10:F11 F43:F44 H43:H44 J43:J44 L43:L44 H12 J12 F16 H16 J16 L16 F20 H20 J20 L20 F24 H24 J24 L24 F28 H28 L28 F32 H32 J32 L32 F48 H48 J48 L48 F52 H52 J52 L52 F56 H56 J56 L56 F64 H64 J64 L64 H8 F8 J8 L8 J59:J60"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2021-11-24T15:22:30Z</dcterms:created>
  <dcterms:modified xsi:type="dcterms:W3CDTF">2023-03-19T15:01:16Z</dcterms:modified>
</cp:coreProperties>
</file>